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-105" yWindow="-105" windowWidth="19425" windowHeight="10305" tabRatio="567" activeTab="2"/>
  </bookViews>
  <sheets>
    <sheet name="Actual FC, PGCIL &amp; TM Cost" sheetId="3" r:id="rId1"/>
    <sheet name="Avail &amp; Stranded Capacity" sheetId="5" r:id="rId2"/>
    <sheet name="Addnl Surcharge H2_24-25" sheetId="1" r:id="rId3"/>
    <sheet name="OA Sales Trend" sheetId="6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0">'Actual FC, PGCIL &amp; TM Cost'!$G$2:$L$54</definedName>
    <definedName name="_xlnm.Print_Area" localSheetId="2">'Addnl Surcharge H2_24-25'!$A$3:$E$21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3"/>
  <c r="C54"/>
  <c r="C44"/>
  <c r="C42"/>
  <c r="E20" i="1"/>
  <c r="E15"/>
  <c r="J14" i="3"/>
  <c r="J6" l="1"/>
  <c r="C50" l="1"/>
  <c r="C19" l="1"/>
  <c r="C20"/>
  <c r="E9" i="5" l="1"/>
  <c r="E22" s="1"/>
  <c r="E7"/>
  <c r="E20" s="1"/>
  <c r="C46" i="3" l="1"/>
  <c r="C37"/>
  <c r="H7" i="5" l="1"/>
  <c r="H20" s="1"/>
  <c r="G9"/>
  <c r="G22" s="1"/>
  <c r="G7"/>
  <c r="G20" s="1"/>
  <c r="F9"/>
  <c r="F7"/>
  <c r="D7"/>
  <c r="D20" s="1"/>
  <c r="C7"/>
  <c r="C20" s="1"/>
  <c r="C27" i="3"/>
  <c r="C61"/>
  <c r="C60"/>
  <c r="C58"/>
  <c r="C57"/>
  <c r="C53"/>
  <c r="C49"/>
  <c r="C48"/>
  <c r="C45"/>
  <c r="C43"/>
  <c r="C41"/>
  <c r="C40"/>
  <c r="C39"/>
  <c r="C38"/>
  <c r="C36"/>
  <c r="C35"/>
  <c r="C33"/>
  <c r="C32"/>
  <c r="C34" s="1"/>
  <c r="C29"/>
  <c r="C28"/>
  <c r="C26"/>
  <c r="C25"/>
  <c r="C24"/>
  <c r="C23"/>
  <c r="C22"/>
  <c r="C21"/>
  <c r="C18"/>
  <c r="C17"/>
  <c r="C16"/>
  <c r="C15"/>
  <c r="C14"/>
  <c r="C13"/>
  <c r="C12"/>
  <c r="C11"/>
  <c r="C10"/>
  <c r="C9"/>
  <c r="C8"/>
  <c r="C7"/>
  <c r="C6"/>
  <c r="H15"/>
  <c r="C59" l="1"/>
  <c r="J15"/>
  <c r="J16" s="1"/>
  <c r="J17" s="1"/>
  <c r="C30"/>
  <c r="C47"/>
  <c r="C51" l="1"/>
  <c r="C52"/>
  <c r="F20" i="5" l="1"/>
  <c r="F22"/>
  <c r="I20" l="1"/>
  <c r="I7"/>
  <c r="J5" i="3" l="1"/>
  <c r="C56"/>
  <c r="E7" i="1"/>
  <c r="J9" i="3" l="1"/>
  <c r="C62"/>
  <c r="C64" s="1"/>
  <c r="E17" i="1"/>
  <c r="E10" l="1"/>
  <c r="F6" i="6" l="1"/>
  <c r="F5"/>
  <c r="D13"/>
  <c r="F8"/>
  <c r="F9"/>
  <c r="F10"/>
  <c r="F11"/>
  <c r="F12"/>
  <c r="F7"/>
  <c r="F13" s="1"/>
  <c r="G13" s="1"/>
  <c r="D9" i="5" l="1"/>
  <c r="D22" s="1"/>
  <c r="H9" l="1"/>
  <c r="H22" s="1"/>
  <c r="C9" l="1"/>
  <c r="C22" s="1"/>
  <c r="I22" l="1"/>
  <c r="I9"/>
  <c r="C4" l="1"/>
  <c r="C17" s="1"/>
  <c r="C5" l="1"/>
  <c r="C18" s="1"/>
  <c r="C6" l="1"/>
  <c r="C19" s="1"/>
  <c r="C10" l="1"/>
  <c r="C23" s="1"/>
  <c r="C8"/>
  <c r="C21" s="1"/>
  <c r="D5" l="1"/>
  <c r="D18" s="1"/>
  <c r="D4" l="1"/>
  <c r="D17" l="1"/>
  <c r="D6"/>
  <c r="D19" s="1"/>
  <c r="D10" l="1"/>
  <c r="D23" s="1"/>
  <c r="D8"/>
  <c r="D21" s="1"/>
  <c r="H4" l="1"/>
  <c r="H17" s="1"/>
  <c r="H5" l="1"/>
  <c r="H18" s="1"/>
  <c r="H6" l="1"/>
  <c r="H19" s="1"/>
  <c r="H8" l="1"/>
  <c r="H21" s="1"/>
  <c r="H10"/>
  <c r="H23" s="1"/>
  <c r="E4" l="1"/>
  <c r="E17" l="1"/>
  <c r="G4" l="1"/>
  <c r="G17" s="1"/>
  <c r="G5" l="1"/>
  <c r="G18" s="1"/>
  <c r="G6" l="1"/>
  <c r="G19" s="1"/>
  <c r="G8" l="1"/>
  <c r="G21" s="1"/>
  <c r="G10"/>
  <c r="G23" s="1"/>
  <c r="F4" l="1"/>
  <c r="F5"/>
  <c r="F18" s="1"/>
  <c r="F17" l="1"/>
  <c r="I17" s="1"/>
  <c r="I4"/>
  <c r="E5" i="1" s="1"/>
  <c r="E8" s="1"/>
  <c r="F6" i="5" l="1"/>
  <c r="F19" s="1"/>
  <c r="F8" l="1"/>
  <c r="F21" s="1"/>
  <c r="F10" l="1"/>
  <c r="F23" s="1"/>
  <c r="E5" l="1"/>
  <c r="I5"/>
  <c r="E6"/>
  <c r="I6" s="1"/>
  <c r="E8"/>
  <c r="E21" s="1"/>
  <c r="I21" s="1"/>
  <c r="E10"/>
  <c r="I10" s="1"/>
  <c r="E6" i="1" s="1"/>
  <c r="E9" s="1"/>
  <c r="E18" i="5"/>
  <c r="I18" s="1"/>
  <c r="E19"/>
  <c r="I19" s="1"/>
  <c r="E23" l="1"/>
  <c r="I23" s="1"/>
  <c r="I8"/>
  <c r="J7" i="3" l="1"/>
  <c r="J10" s="1"/>
  <c r="E13" i="1" s="1"/>
  <c r="E11"/>
  <c r="E12" s="1"/>
  <c r="E14" l="1"/>
  <c r="E16" s="1"/>
  <c r="E18" s="1"/>
  <c r="E19" s="1"/>
  <c r="E21" s="1"/>
</calcChain>
</file>

<file path=xl/sharedStrings.xml><?xml version="1.0" encoding="utf-8"?>
<sst xmlns="http://schemas.openxmlformats.org/spreadsheetml/2006/main" count="199" uniqueCount="169">
  <si>
    <t xml:space="preserve">Additional Surcharge </t>
  </si>
  <si>
    <t>Unit</t>
  </si>
  <si>
    <t>{A}</t>
  </si>
  <si>
    <t>Long term available capacity</t>
  </si>
  <si>
    <t>MW</t>
  </si>
  <si>
    <t>{B}</t>
  </si>
  <si>
    <t>Capacity stranded due to open access</t>
  </si>
  <si>
    <t>Capacity stranded due to open access incl Captive</t>
  </si>
  <si>
    <t>{C}</t>
  </si>
  <si>
    <t>Fixed Charges paid</t>
  </si>
  <si>
    <t>Rs. crore</t>
  </si>
  <si>
    <t>Actual FC excl NCEs</t>
  </si>
  <si>
    <t>{D}={C}÷{A}</t>
  </si>
  <si>
    <t>Fixed Charges per MW</t>
  </si>
  <si>
    <t>Rs. crore/MW</t>
  </si>
  <si>
    <t>{E}={D}x{B}</t>
  </si>
  <si>
    <t>Fixed Charges for stranded capacity</t>
  </si>
  <si>
    <t>{F}</t>
  </si>
  <si>
    <t>Transmission charges paid</t>
  </si>
  <si>
    <t>{G}</t>
  </si>
  <si>
    <t>Actual Energy scheduled</t>
  </si>
  <si>
    <t>MU</t>
  </si>
  <si>
    <t>{H}={F}÷{G}</t>
  </si>
  <si>
    <t>Transmission charges per unit</t>
  </si>
  <si>
    <t>Rs./kWh</t>
  </si>
  <si>
    <t>I</t>
  </si>
  <si>
    <t>Distribution charges as per Tariff Order</t>
  </si>
  <si>
    <t>{J}={H}+{I}</t>
  </si>
  <si>
    <t>Total transmission and distribution charges per unit</t>
  </si>
  <si>
    <t>{K}</t>
  </si>
  <si>
    <t>{L}={K}x{J}</t>
  </si>
  <si>
    <t>{M}</t>
  </si>
  <si>
    <t>Demand charges recovered by the DISCOM from open access consumers</t>
  </si>
  <si>
    <t>Demand Charges Excl GPCIL &amp; TP</t>
  </si>
  <si>
    <t>{N}={M}-{L}</t>
  </si>
  <si>
    <t>Demand charges to be adjusted</t>
  </si>
  <si>
    <t>{O}={E}-{N}</t>
  </si>
  <si>
    <t>Net stranded charges recoverable</t>
  </si>
  <si>
    <t>{P}</t>
  </si>
  <si>
    <t>Open access sales</t>
  </si>
  <si>
    <t>Total Intra State + Total  OA</t>
  </si>
  <si>
    <t>{Q}={O}÷{P}</t>
  </si>
  <si>
    <t>Additional Surcharge computed</t>
  </si>
  <si>
    <t>Actual FC incl NCEs</t>
  </si>
  <si>
    <t>Intra State(Excl Captive) + OA (Excl Captive)</t>
  </si>
  <si>
    <t>consider captive in OA MW</t>
  </si>
  <si>
    <t>Total Intra State + Total  OA + APGPCL</t>
  </si>
  <si>
    <t>Consider captive in OA Sales</t>
  </si>
  <si>
    <t>Only Third Party OA MU</t>
  </si>
  <si>
    <t>Energy Excl GPCIL</t>
  </si>
  <si>
    <t>Energy incl GPCIL</t>
  </si>
  <si>
    <t>Energy Excl GPCIL &amp; TP</t>
  </si>
  <si>
    <t>Demand Charges Excl GPCIL</t>
  </si>
  <si>
    <t>Demand Charges incl GPCIL</t>
  </si>
  <si>
    <t>Capacity stranded due to open access w/o Captive</t>
  </si>
  <si>
    <t>RTS-B</t>
  </si>
  <si>
    <t>CGS Total</t>
  </si>
  <si>
    <t>CGS</t>
  </si>
  <si>
    <t>NPC  Kaiga - I&amp; II</t>
  </si>
  <si>
    <t>NPC-MAPS</t>
  </si>
  <si>
    <t>NPC-Kudankulam</t>
  </si>
  <si>
    <t>NLC ST-I</t>
  </si>
  <si>
    <t>NLC ST-II</t>
  </si>
  <si>
    <t>NTPC(SR) I &amp; II</t>
  </si>
  <si>
    <t>NTPC(SR) ST III</t>
  </si>
  <si>
    <t>NTPC-Simhadri -I</t>
  </si>
  <si>
    <t>NTPC-Simhadri -II</t>
  </si>
  <si>
    <t>NTPC-Talcher-ST II</t>
  </si>
  <si>
    <t>NTPC KUDIGI I</t>
  </si>
  <si>
    <t>NTECL - VALLURU</t>
  </si>
  <si>
    <t>NLC Tamilnadu Power Ltd</t>
  </si>
  <si>
    <t>IPPs</t>
  </si>
  <si>
    <t>TOTAL IPPs/MPPs</t>
  </si>
  <si>
    <t>KTPS V (D)</t>
  </si>
  <si>
    <t>KTPS VI</t>
  </si>
  <si>
    <t>Kakatiya Stage-I</t>
  </si>
  <si>
    <t>Kakatiya Stage-II</t>
  </si>
  <si>
    <t>KTPS Stage VII</t>
  </si>
  <si>
    <t>Interest on Pension bonds</t>
  </si>
  <si>
    <t>TSGENCO-Hydel</t>
  </si>
  <si>
    <t>TSGENCO-TOTAL</t>
  </si>
  <si>
    <t>SINGARENI CCL U1&amp;U2</t>
  </si>
  <si>
    <t>Chatthisgargh SPDCL</t>
  </si>
  <si>
    <t>PGCIL Non POC</t>
  </si>
  <si>
    <t>POSOCO (SRLDC Fees &amp; Charges)</t>
  </si>
  <si>
    <t>TSTRANSCO-TR TSNPDCL</t>
  </si>
  <si>
    <t>TSTRANSCO-TR TSSPDCL</t>
  </si>
  <si>
    <t>TSTRANSCO-SLDC TSNPDCL</t>
  </si>
  <si>
    <t>TSTRANSCO-SLDC TSSPDCL</t>
  </si>
  <si>
    <t>Name of the Generating Station</t>
  </si>
  <si>
    <t>Total Fixed Cost Excl NCEs</t>
  </si>
  <si>
    <t>PGCIL</t>
  </si>
  <si>
    <t>Transco</t>
  </si>
  <si>
    <t>SLDC</t>
  </si>
  <si>
    <t>PGCIL &amp; T/m Cost</t>
  </si>
  <si>
    <t>Total</t>
  </si>
  <si>
    <t>NNTPS</t>
  </si>
  <si>
    <t>Particular (in MW)</t>
  </si>
  <si>
    <t>Average</t>
  </si>
  <si>
    <t>Availibile capacity</t>
  </si>
  <si>
    <t>Scheduled Capacity</t>
  </si>
  <si>
    <t>OA Scheduled Capacity</t>
  </si>
  <si>
    <t>Stranded Capacity</t>
  </si>
  <si>
    <t>Stranded Capacity arrived by considering minimum of backing down i.e., deficit and OA scheduled capacity for each 15-min block</t>
  </si>
  <si>
    <t>FY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</si>
  <si>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</si>
  <si>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</si>
  <si>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</si>
  <si>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</si>
  <si>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</si>
  <si>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</si>
  <si>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</si>
  <si>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</si>
  <si>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H1</t>
  </si>
  <si>
    <t>H2</t>
  </si>
  <si>
    <t>OA Sales excluding captive (MU)</t>
  </si>
  <si>
    <t>Expn I</t>
  </si>
  <si>
    <t>Expn II</t>
  </si>
  <si>
    <t>NTPC(ER) - Farakka-1</t>
  </si>
  <si>
    <t>NTPC(ER)-Kahalgaon</t>
  </si>
  <si>
    <t>NTPC(ER)-Talcher-I</t>
  </si>
  <si>
    <t>NTPC FGTPS 2 Pushp</t>
  </si>
  <si>
    <t>NTPC NSTPS 1 Pushp</t>
  </si>
  <si>
    <t>Sembcorp Energy India Limited (570 MW)</t>
  </si>
  <si>
    <t>Sembcorp Energy India Limited (269.45 MW)</t>
  </si>
  <si>
    <t>BTPS (I to IV)</t>
  </si>
  <si>
    <t>Water Charges</t>
  </si>
  <si>
    <t>FC Adj</t>
  </si>
  <si>
    <t>FCA TSGENCO</t>
  </si>
  <si>
    <t>PGCIL POC-CTUIL</t>
  </si>
  <si>
    <t>Half (½) of the Distribution cost as per fourth MYT Distribution Tariff Order read with its amendment order dt 01.03.2021 by considering ARR less NTI.</t>
  </si>
  <si>
    <t>(a)</t>
  </si>
  <si>
    <t>(b)</t>
  </si>
  <si>
    <t>Total Distribution charges as per Tariff Order</t>
  </si>
  <si>
    <t>(c)=a/b</t>
  </si>
  <si>
    <t>Distribution charges other than LT (i.e., 11 kV  and 33 kV) as per MYT Distribution Tariff Order read with its amendment order</t>
  </si>
  <si>
    <t>(d)</t>
  </si>
  <si>
    <t>Percentage of other than LT distribution cost (i.e., for 11 kV and 33 kV) in total distribution cost as per MYT Distribution Tariff Order</t>
  </si>
  <si>
    <t>(e)=(½xd)/a</t>
  </si>
  <si>
    <t>Distribution charges as per Tariff Order considered by Commission for Additional Surcharge calculation</t>
  </si>
  <si>
    <t>(f)=e*c</t>
  </si>
  <si>
    <t>Table 4-2: Distribution Charges considered</t>
  </si>
  <si>
    <t>Table 4-3: Net Demand Charges recovered by TSDISCOMs from Open Access consumers</t>
  </si>
  <si>
    <t>(A)</t>
  </si>
  <si>
    <t>(D)=(A-C)</t>
  </si>
  <si>
    <t>Total Demand Charges Recovered</t>
  </si>
  <si>
    <t>Distribution Cost recovery percentage in demand Charges as per Tariff Order values</t>
  </si>
  <si>
    <t>Lt Network cost recovery percentage in Distribution cost</t>
  </si>
  <si>
    <t>Net demand charges (Excluding LT network cost recovery) considered in Additional Surcharge calculations</t>
  </si>
  <si>
    <t>Gross(Deficit)/Surplus</t>
  </si>
  <si>
    <t>Short-Term Purchases Capacity</t>
  </si>
  <si>
    <t>(Deficit)/Surplus after netting of Short-Term Purchases</t>
  </si>
  <si>
    <t>Transmission and distribution charges to payable by open access consumers</t>
  </si>
  <si>
    <t>Energy consumed by open access consumers from the DISCOMs</t>
  </si>
  <si>
    <t>(B)=31.48%*(A)</t>
  </si>
  <si>
    <t>FC paid from Oct'23 to March'24</t>
  </si>
  <si>
    <t>NTPC Telangana TPS St.1</t>
  </si>
  <si>
    <t>Actual scheduled capacity for H2 FY 2023-24</t>
  </si>
  <si>
    <t>82.80%
(1-17.20%)</t>
  </si>
  <si>
    <t>Fixed Cost paid by Discom:</t>
  </si>
  <si>
    <t>(C)=82.8%(B)</t>
  </si>
  <si>
    <t>INR Cr</t>
  </si>
  <si>
    <t>Rs/kWh</t>
  </si>
  <si>
    <t>%</t>
  </si>
  <si>
    <t>Filings for FY24-25 H2</t>
  </si>
  <si>
    <t>Considering Actual Data of Oct'23 to Jan'24</t>
  </si>
  <si>
    <t>NTPC(NER)-Bongaigaon TPS</t>
  </si>
  <si>
    <t>NTPC(NR)-National Capital Therm Pwr_2</t>
  </si>
  <si>
    <t>Fixed charges carried forward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</si>
</sst>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0.000"/>
    <numFmt numFmtId="165" formatCode="0.0%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Bookman Old Style"/>
      <family val="1"/>
    </font>
    <font>
      <b/>
      <sz val="12"/>
      <color theme="1"/>
      <name val="Bookman Old Style"/>
      <family val="1"/>
    </font>
    <font>
      <sz val="12"/>
      <color rgb="FF000000"/>
      <name val="Bookman Old Style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b/>
      <sz val="12"/>
      <color indexed="8"/>
      <name val="Bookman Old Style"/>
      <family val="1"/>
    </font>
    <font>
      <b/>
      <u/>
      <sz val="12"/>
      <name val="Bookman Old Style"/>
      <family val="1"/>
    </font>
    <font>
      <b/>
      <u/>
      <sz val="12"/>
      <color theme="1"/>
      <name val="Bookman Old Style"/>
      <family val="1"/>
    </font>
    <font>
      <b/>
      <sz val="12"/>
      <color rgb="FF000000"/>
      <name val="Bookman Old Style"/>
      <family val="1"/>
    </font>
    <font>
      <i/>
      <sz val="12"/>
      <color theme="1"/>
      <name val="Bookman Old Style"/>
      <family val="1"/>
    </font>
    <font>
      <sz val="12"/>
      <color indexed="8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3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2" fontId="1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0" fontId="6" fillId="0" borderId="1" xfId="4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 applyFill="1" applyBorder="1" applyAlignment="1">
      <alignment vertical="center" wrapText="1"/>
    </xf>
    <xf numFmtId="2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6" fillId="0" borderId="0" xfId="0" applyNumberFormat="1" applyFont="1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vertical="center" wrapText="1"/>
    </xf>
    <xf numFmtId="2" fontId="6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2" fontId="6" fillId="0" borderId="0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2" fontId="7" fillId="0" borderId="0" xfId="0" applyNumberFormat="1" applyFont="1" applyAlignment="1">
      <alignment vertical="center"/>
    </xf>
    <xf numFmtId="0" fontId="7" fillId="0" borderId="0" xfId="0" applyFont="1" applyFill="1" applyBorder="1" applyAlignment="1">
      <alignment vertical="center"/>
    </xf>
    <xf numFmtId="10" fontId="6" fillId="0" borderId="0" xfId="4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2" fontId="9" fillId="0" borderId="0" xfId="0" applyNumberFormat="1" applyFont="1" applyFill="1" applyBorder="1" applyAlignment="1">
      <alignment horizontal="right" vertical="center"/>
    </xf>
    <xf numFmtId="1" fontId="10" fillId="0" borderId="1" xfId="0" applyNumberFormat="1" applyFont="1" applyBorder="1" applyAlignment="1">
      <alignment vertical="center"/>
    </xf>
    <xf numFmtId="1" fontId="9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2" fontId="7" fillId="0" borderId="0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2" fontId="13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0" fontId="10" fillId="0" borderId="1" xfId="0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vertical="center"/>
    </xf>
    <xf numFmtId="0" fontId="6" fillId="0" borderId="1" xfId="0" applyFont="1" applyFill="1" applyBorder="1"/>
    <xf numFmtId="0" fontId="7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7" fontId="7" fillId="4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right" vertical="center"/>
    </xf>
    <xf numFmtId="1" fontId="11" fillId="4" borderId="1" xfId="0" applyNumberFormat="1" applyFont="1" applyFill="1" applyBorder="1" applyAlignment="1">
      <alignment vertical="center"/>
    </xf>
    <xf numFmtId="1" fontId="7" fillId="4" borderId="1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2" fontId="7" fillId="4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vertical="center"/>
    </xf>
    <xf numFmtId="43" fontId="6" fillId="0" borderId="1" xfId="5" applyFont="1" applyFill="1" applyBorder="1" applyAlignment="1">
      <alignment horizontal="center" vertical="center"/>
    </xf>
    <xf numFmtId="43" fontId="8" fillId="0" borderId="1" xfId="5" applyFont="1" applyFill="1" applyBorder="1" applyAlignment="1">
      <alignment horizontal="center" vertical="center"/>
    </xf>
    <xf numFmtId="43" fontId="10" fillId="0" borderId="1" xfId="5" applyFont="1" applyFill="1" applyBorder="1" applyAlignment="1">
      <alignment horizontal="center" vertical="center"/>
    </xf>
    <xf numFmtId="43" fontId="16" fillId="0" borderId="1" xfId="5" applyFont="1" applyFill="1" applyBorder="1" applyAlignment="1">
      <alignment horizontal="center" vertical="center"/>
    </xf>
    <xf numFmtId="43" fontId="7" fillId="3" borderId="1" xfId="5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center"/>
    </xf>
    <xf numFmtId="43" fontId="6" fillId="0" borderId="0" xfId="5" applyFont="1" applyBorder="1" applyAlignment="1">
      <alignment vertical="center"/>
    </xf>
    <xf numFmtId="43" fontId="6" fillId="0" borderId="0" xfId="5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6">
    <cellStyle name="Comma" xfId="5" builtinId="3"/>
    <cellStyle name="Normal" xfId="0" builtinId="0"/>
    <cellStyle name="Normal 2" xfId="1"/>
    <cellStyle name="Normal 2 2" xfId="3"/>
    <cellStyle name="Normal 3" xfId="2"/>
    <cellStyle name="Percent" xfId="4" builtinId="5"/>
  </cellStyles>
  <dxfs count="0"/>
  <tableStyles count="0" defaultTableStyle="TableStyleMedium2" defaultPivotStyle="PivotStyleLight16"/>
  <colors>
    <mruColors>
      <color rgb="FFFFFF99"/>
      <color rgb="FFFFFFCC"/>
      <color rgb="FFFFFF00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C%20VC%202023-24%20up%20to%20March'24-Provisional%20-%20Dt-14-05-2024%20-%20FSA-.xlsx?C2B6C0F3" TargetMode="External"/><Relationship Id="rId1" Type="http://schemas.openxmlformats.org/officeDocument/2006/relationships/externalLinkPath" Target="file:///\\C2B6C0F3\FC%20VC%202023-24%20up%20to%20March'24-Provisional%20-%20Dt-14-05-2024%20-%20FSA-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Input%20files/1Mar'24_01.03.24.xlsx?D76449C7" TargetMode="External"/><Relationship Id="rId1" Type="http://schemas.openxmlformats.org/officeDocument/2006/relationships/externalLinkPath" Target="file:///\\D76449C7\1Mar'24_01.03.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C%20VC%202023-24%20up%20to%20March'24-Provisional%20-%20Dt-24-05-2024%20-%20FSA.xlsx?C2B6C0F3" TargetMode="External"/><Relationship Id="rId1" Type="http://schemas.openxmlformats.org/officeDocument/2006/relationships/externalLinkPath" Target="file:///\\C2B6C0F3\FC%20VC%202023-24%20up%20to%20March'24-Provisional%20-%20Dt-24-05-2024%20-%20FS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CER%20DATA/AS%20for%20H2%20of%20FY%202024-25/Data/Actual%20data%20to%20be%20used/O.A%20Sales%20Format%202023-24%20(H1%20+%20H2)%20-%20Final%20wiht%2015%20days%20March%20Solar%20sal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CER%20DATA/AS%20for%20H2%20of%20FY%202024-25/Data/Actual%20data%20to%20be%20used/FC%20VC%202023-24%20up%20to%20March'24-Provisional%20-%20Dt-24-05-2024%20-%20F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Oct'23_01.10.23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Input%20files/1Nov'23_01.11.23.xlsx?D76449C7" TargetMode="External"/><Relationship Id="rId1" Type="http://schemas.openxmlformats.org/officeDocument/2006/relationships/externalLinkPath" Target="file:///\\D76449C7\1Nov'23_01.11.23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microsoft.com/office/2019/04/relationships/externalLinkLongPath" Target="Input%20files/1Dec'23_01.12.23.xlsx?D76449C7" TargetMode="External"/><Relationship Id="rId1" Type="http://schemas.openxmlformats.org/officeDocument/2006/relationships/externalLinkPath" Target="file:///\\D76449C7\1Dec'23_01.12.23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Input%20files/1Jan'24_01.01.24.xlsx?D76449C7" TargetMode="External"/><Relationship Id="rId1" Type="http://schemas.openxmlformats.org/officeDocument/2006/relationships/externalLinkPath" Target="file:///\\D76449C7\1Jan'24_01.01.24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Input%20files/1Feb'24_01.02.24.xlsx?D76449C7" TargetMode="External"/><Relationship Id="rId1" Type="http://schemas.openxmlformats.org/officeDocument/2006/relationships/externalLinkPath" Target="file:///\\D76449C7\1Feb'24_01.02.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-24"/>
      <sheetName val="Intra &amp; Inter State 23-24"/>
      <sheetName val="STOA 23-24"/>
      <sheetName val="NCEs NP 23-24"/>
      <sheetName val="NCEs SP 23-24"/>
      <sheetName val="For FSA "/>
      <sheetName val="Sheet5"/>
      <sheetName val="Sheet1"/>
      <sheetName val="Sale of power"/>
      <sheetName val="Month wise stn wise"/>
      <sheetName val="Month wise stn wise (2)"/>
    </sheetNames>
    <sheetDataSet>
      <sheetData sheetId="0">
        <row r="5">
          <cell r="DF5">
            <v>0</v>
          </cell>
        </row>
        <row r="6">
          <cell r="DF6">
            <v>0</v>
          </cell>
        </row>
        <row r="7">
          <cell r="DF7">
            <v>0</v>
          </cell>
        </row>
        <row r="8">
          <cell r="DF8">
            <v>0.94010080374972971</v>
          </cell>
        </row>
        <row r="9">
          <cell r="DF9">
            <v>1.1785811061771312</v>
          </cell>
        </row>
        <row r="10">
          <cell r="DF10">
            <v>41.951070356562468</v>
          </cell>
        </row>
        <row r="11">
          <cell r="DF11">
            <v>1.8129835000746355</v>
          </cell>
        </row>
        <row r="12">
          <cell r="DF12">
            <v>2.4798538025872858</v>
          </cell>
        </row>
        <row r="13">
          <cell r="DF13">
            <v>1.7631000000000001E-3</v>
          </cell>
        </row>
        <row r="14">
          <cell r="DF14">
            <v>4.1465E-3</v>
          </cell>
        </row>
        <row r="15">
          <cell r="DF15">
            <v>0</v>
          </cell>
        </row>
        <row r="16">
          <cell r="DF16">
            <v>1.0226E-3</v>
          </cell>
        </row>
        <row r="17">
          <cell r="DF17">
            <v>4.4508000000000004E-3</v>
          </cell>
        </row>
        <row r="18">
          <cell r="DF18">
            <v>1.3561200000000001E-2</v>
          </cell>
        </row>
        <row r="19">
          <cell r="DF19">
            <v>-2.9899999999999998E-5</v>
          </cell>
        </row>
        <row r="20">
          <cell r="DF20">
            <v>108.5567334</v>
          </cell>
        </row>
        <row r="21">
          <cell r="DF21">
            <v>25.587522700000001</v>
          </cell>
        </row>
        <row r="22">
          <cell r="DF22">
            <v>212.67957709999999</v>
          </cell>
        </row>
        <row r="23">
          <cell r="DF23">
            <v>135.82813809999999</v>
          </cell>
        </row>
        <row r="24">
          <cell r="DF24">
            <v>86.213883300000006</v>
          </cell>
        </row>
        <row r="25">
          <cell r="DF25">
            <v>149.4122514</v>
          </cell>
        </row>
        <row r="26">
          <cell r="DF26">
            <v>459.49012920000001</v>
          </cell>
        </row>
        <row r="27">
          <cell r="DF27">
            <v>32.673439399999999</v>
          </cell>
        </row>
        <row r="28">
          <cell r="DF28">
            <v>64.118997908431609</v>
          </cell>
        </row>
        <row r="31">
          <cell r="DF31">
            <v>551.69878633529993</v>
          </cell>
        </row>
        <row r="32">
          <cell r="DF32">
            <v>155.88898795</v>
          </cell>
        </row>
        <row r="39">
          <cell r="DF39">
            <v>191.26499999999999</v>
          </cell>
        </row>
        <row r="40">
          <cell r="DF40">
            <v>298.93999980000001</v>
          </cell>
        </row>
        <row r="41">
          <cell r="DF41">
            <v>672.70500000000004</v>
          </cell>
        </row>
        <row r="42">
          <cell r="DF42">
            <v>32.142605099999997</v>
          </cell>
        </row>
        <row r="43">
          <cell r="DF43">
            <v>209.93500019999999</v>
          </cell>
        </row>
        <row r="44">
          <cell r="DF44">
            <v>374.59999979999998</v>
          </cell>
        </row>
        <row r="45">
          <cell r="DF45">
            <v>681.34271579999995</v>
          </cell>
        </row>
        <row r="48">
          <cell r="DF48">
            <v>621.17250000000001</v>
          </cell>
        </row>
        <row r="50">
          <cell r="DF50">
            <v>0</v>
          </cell>
        </row>
        <row r="51">
          <cell r="DF51">
            <v>0</v>
          </cell>
        </row>
        <row r="53">
          <cell r="DF53">
            <v>660.90134550000005</v>
          </cell>
        </row>
        <row r="54">
          <cell r="DF54">
            <v>0</v>
          </cell>
        </row>
        <row r="55">
          <cell r="DF55">
            <v>1274.2782024000001</v>
          </cell>
        </row>
        <row r="60">
          <cell r="DF60">
            <v>563.14697339999998</v>
          </cell>
        </row>
        <row r="61">
          <cell r="DF61">
            <v>1335.1353125999999</v>
          </cell>
        </row>
        <row r="62">
          <cell r="DF62">
            <v>5.8506168000000001</v>
          </cell>
        </row>
        <row r="63">
          <cell r="DF63">
            <v>14.022382800000001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C9">
            <v>602.55612750000012</v>
          </cell>
        </row>
      </sheetData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/>
      <sheetData sheetId="1">
        <row r="25">
          <cell r="CU25">
            <v>29896756.48559162</v>
          </cell>
        </row>
        <row r="53">
          <cell r="CU53">
            <v>25934093.653381843</v>
          </cell>
        </row>
        <row r="55">
          <cell r="CU55">
            <v>3962662.8322097757</v>
          </cell>
        </row>
        <row r="56">
          <cell r="CU56">
            <v>6893027.6999999983</v>
          </cell>
        </row>
        <row r="57">
          <cell r="CU57">
            <v>738510.18000466633</v>
          </cell>
        </row>
        <row r="96">
          <cell r="CU96">
            <v>224630.63707775989</v>
          </cell>
        </row>
        <row r="99">
          <cell r="CU99">
            <v>111685.43491178959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23-24"/>
      <sheetName val="Intra &amp; Inter State 23-24"/>
      <sheetName val="STOA 23-24"/>
      <sheetName val="NCEs NP 23-24"/>
      <sheetName val="NCEs SP 23-24"/>
      <sheetName val="Sheet5"/>
      <sheetName val="For FSA "/>
      <sheetName val="Sheet6"/>
      <sheetName val="Sheet1"/>
      <sheetName val="Sheet2"/>
      <sheetName val="Sheet3"/>
      <sheetName val="Month wise stn wise"/>
      <sheetName val="Month wise stn wise (2)"/>
    </sheetNames>
    <sheetDataSet>
      <sheetData sheetId="0">
        <row r="70">
          <cell r="DN70">
            <v>46642.961719532999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A Sales_FY2023-24 H1 Rev"/>
      <sheetName val="OA Sales_FY2023-24  H2- Final"/>
      <sheetName val="Sc.wise Oct to March"/>
      <sheetName val="Sc.wise Oct to March Revised"/>
      <sheetName val="OA Sales_FY2023-24  H2- Fin Rev"/>
      <sheetName val="Sheet1"/>
      <sheetName val="Sheet2"/>
      <sheetName val="Sheet3"/>
    </sheetNames>
    <sheetDataSet>
      <sheetData sheetId="0"/>
      <sheetData sheetId="1"/>
      <sheetData sheetId="2"/>
      <sheetData sheetId="3">
        <row r="376">
          <cell r="DM376">
            <v>161.18924927800001</v>
          </cell>
          <cell r="EJ376">
            <v>1306.5623073620691</v>
          </cell>
        </row>
      </sheetData>
      <sheetData sheetId="4">
        <row r="36">
          <cell r="T36">
            <v>66.053765999999996</v>
          </cell>
        </row>
      </sheetData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2023-24"/>
      <sheetName val="Intra &amp; Inter State 23-24"/>
      <sheetName val="STOA 23-24"/>
      <sheetName val="NCEs NP 23-24"/>
      <sheetName val="NCEs SP 23-24"/>
      <sheetName val="Sheet5"/>
      <sheetName val="For FSA "/>
      <sheetName val="Sheet6"/>
      <sheetName val="Sheet1"/>
      <sheetName val="Sheet2"/>
      <sheetName val="Sheet3"/>
      <sheetName val="Month wise stn wise"/>
      <sheetName val="Month wise stn wise (2)"/>
    </sheetNames>
    <sheetDataSet>
      <sheetData sheetId="0">
        <row r="47">
          <cell r="DN47">
            <v>584.04000000000008</v>
          </cell>
        </row>
        <row r="49">
          <cell r="DN49">
            <v>34.159999999999997</v>
          </cell>
        </row>
        <row r="56">
          <cell r="DN56">
            <v>1.7259546000000001</v>
          </cell>
        </row>
        <row r="59">
          <cell r="DN59">
            <v>3.3631668776543711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 refreshError="1"/>
      <sheetData sheetId="1">
        <row r="25">
          <cell r="CU25">
            <v>28037430.267608479</v>
          </cell>
        </row>
        <row r="53">
          <cell r="CU53">
            <v>26996437.423608478</v>
          </cell>
        </row>
        <row r="55">
          <cell r="CU55">
            <v>1040992.8440000004</v>
          </cell>
        </row>
        <row r="56">
          <cell r="CU56">
            <v>6478990.2999999998</v>
          </cell>
        </row>
        <row r="57">
          <cell r="CU57">
            <v>94370.805000000139</v>
          </cell>
        </row>
        <row r="96">
          <cell r="CU96">
            <v>285512.35395627987</v>
          </cell>
        </row>
        <row r="99">
          <cell r="CU99">
            <v>33767.961941840011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7)"/>
      <sheetName val="Day (23)"/>
      <sheetName val="Day (24)"/>
      <sheetName val="Day (25)"/>
      <sheetName val="Day (26)"/>
      <sheetName val="Day (28)"/>
      <sheetName val="Day (29)"/>
      <sheetName val="Day (30)"/>
    </sheetNames>
    <sheetDataSet>
      <sheetData sheetId="0"/>
      <sheetData sheetId="1">
        <row r="25">
          <cell r="CU25">
            <v>23223986.968947589</v>
          </cell>
        </row>
        <row r="53">
          <cell r="CU53">
            <v>20957304.849347591</v>
          </cell>
        </row>
        <row r="55">
          <cell r="CU55">
            <v>2266682.1195999994</v>
          </cell>
        </row>
        <row r="56">
          <cell r="CU56">
            <v>4967674.01</v>
          </cell>
        </row>
        <row r="57">
          <cell r="CU57">
            <v>463688.62479999993</v>
          </cell>
        </row>
        <row r="96">
          <cell r="CU96">
            <v>255996.77225300006</v>
          </cell>
        </row>
        <row r="99">
          <cell r="CU99">
            <v>91498.663179999974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/>
      <sheetData sheetId="1">
        <row r="25">
          <cell r="CU25">
            <v>23976307.432643421</v>
          </cell>
        </row>
        <row r="53">
          <cell r="CU53">
            <v>21503715.950643435</v>
          </cell>
        </row>
        <row r="55">
          <cell r="CU55">
            <v>2472591.4819999998</v>
          </cell>
        </row>
        <row r="56">
          <cell r="CU56">
            <v>5571320.0600000015</v>
          </cell>
        </row>
        <row r="57">
          <cell r="CU57">
            <v>264183.77499999997</v>
          </cell>
        </row>
        <row r="96">
          <cell r="CU96">
            <v>162051.88053206005</v>
          </cell>
        </row>
        <row r="99">
          <cell r="CU99">
            <v>32338.56596416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/>
      <sheetData sheetId="1">
        <row r="25">
          <cell r="CU25">
            <v>27726958.712721184</v>
          </cell>
        </row>
        <row r="53">
          <cell r="CU53">
            <v>24719145.320397321</v>
          </cell>
        </row>
        <row r="55">
          <cell r="CU55">
            <v>3007813.3923238688</v>
          </cell>
        </row>
        <row r="56">
          <cell r="CU56">
            <v>5516634.5099999998</v>
          </cell>
        </row>
        <row r="57">
          <cell r="CU57">
            <v>1194025.8958238699</v>
          </cell>
        </row>
        <row r="96">
          <cell r="CU96">
            <v>166356.98716403983</v>
          </cell>
        </row>
        <row r="99">
          <cell r="CU99">
            <v>28704.913448980005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heck (Ref)"/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</sheetNames>
    <sheetDataSet>
      <sheetData sheetId="0"/>
      <sheetData sheetId="1">
        <row r="25">
          <cell r="CU25">
            <v>26886485.011795104</v>
          </cell>
        </row>
        <row r="53">
          <cell r="CU53">
            <v>23411901.602399893</v>
          </cell>
        </row>
        <row r="55">
          <cell r="CU55">
            <v>3474583.4093952021</v>
          </cell>
        </row>
        <row r="56">
          <cell r="CU56">
            <v>5745605.6499999911</v>
          </cell>
        </row>
        <row r="57">
          <cell r="CU57">
            <v>604458.47917330032</v>
          </cell>
        </row>
        <row r="96">
          <cell r="CU96">
            <v>286697.36875311972</v>
          </cell>
        </row>
        <row r="99">
          <cell r="CU99">
            <v>109754.85223739997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0070C0"/>
    <pageSetUpPr fitToPage="1"/>
  </sheetPr>
  <dimension ref="B2:V64"/>
  <sheetViews>
    <sheetView showGridLines="0" topLeftCell="A22" workbookViewId="0">
      <selection activeCell="E52" sqref="E52"/>
    </sheetView>
  </sheetViews>
  <sheetFormatPr defaultColWidth="9.140625" defaultRowHeight="15.75"/>
  <cols>
    <col min="1" max="1" width="9.140625" style="37"/>
    <col min="2" max="2" width="52" style="37" bestFit="1" customWidth="1"/>
    <col min="3" max="3" width="40" style="37" customWidth="1"/>
    <col min="4" max="4" width="24.85546875" style="37" customWidth="1"/>
    <col min="5" max="5" width="24.85546875" style="42" customWidth="1"/>
    <col min="6" max="6" width="23.85546875" style="42" customWidth="1"/>
    <col min="7" max="7" width="80" style="37" customWidth="1"/>
    <col min="8" max="9" width="20.85546875" style="42" customWidth="1"/>
    <col min="10" max="10" width="26.85546875" style="42" customWidth="1"/>
    <col min="11" max="11" width="28" style="42" customWidth="1"/>
    <col min="12" max="12" width="28.7109375" style="42" customWidth="1"/>
    <col min="13" max="16" width="13.85546875" style="37" customWidth="1"/>
    <col min="17" max="17" width="12" style="37" customWidth="1"/>
    <col min="18" max="18" width="13.28515625" style="37" customWidth="1"/>
    <col min="19" max="20" width="12.42578125" style="37" customWidth="1"/>
    <col min="21" max="22" width="12.42578125" style="41" customWidth="1"/>
    <col min="23" max="24" width="14.140625" style="37" customWidth="1"/>
    <col min="25" max="25" width="11" style="37" bestFit="1" customWidth="1"/>
    <col min="26" max="16384" width="9.140625" style="37"/>
  </cols>
  <sheetData>
    <row r="2" spans="2:12">
      <c r="B2" s="38" t="s">
        <v>159</v>
      </c>
      <c r="D2" s="39"/>
      <c r="E2" s="40"/>
      <c r="F2" s="37"/>
      <c r="H2" s="37"/>
      <c r="I2" s="37"/>
      <c r="J2" s="37"/>
      <c r="K2" s="37"/>
      <c r="L2" s="37"/>
    </row>
    <row r="3" spans="2:12">
      <c r="D3" s="39"/>
      <c r="E3" s="40"/>
      <c r="F3" s="37"/>
      <c r="H3" s="37"/>
      <c r="I3" s="37"/>
      <c r="J3" s="37"/>
      <c r="K3" s="37"/>
      <c r="L3" s="37"/>
    </row>
    <row r="4" spans="2:12" ht="31.5">
      <c r="B4" s="83" t="s">
        <v>89</v>
      </c>
      <c r="C4" s="83" t="s">
        <v>155</v>
      </c>
      <c r="D4" s="39"/>
      <c r="E4" s="40"/>
      <c r="G4" s="105" t="s">
        <v>141</v>
      </c>
      <c r="H4" s="105"/>
      <c r="I4" s="105"/>
      <c r="J4" s="105"/>
    </row>
    <row r="5" spans="2:12" ht="47.25">
      <c r="B5" s="43" t="s">
        <v>57</v>
      </c>
      <c r="C5" s="44"/>
      <c r="D5" s="39"/>
      <c r="E5" s="40"/>
      <c r="F5" s="37"/>
      <c r="G5" s="91" t="s">
        <v>130</v>
      </c>
      <c r="H5" s="13" t="s">
        <v>131</v>
      </c>
      <c r="I5" s="13" t="s">
        <v>161</v>
      </c>
      <c r="J5" s="13">
        <f>(10073.57-773.95)/2</f>
        <v>4649.8099999999995</v>
      </c>
      <c r="K5" s="24"/>
      <c r="L5" s="37"/>
    </row>
    <row r="6" spans="2:12" ht="16.5" customHeight="1">
      <c r="B6" s="45" t="s">
        <v>58</v>
      </c>
      <c r="C6" s="46">
        <f>'[1]2023-24'!$DF$5</f>
        <v>0</v>
      </c>
      <c r="D6" s="39"/>
      <c r="E6" s="40"/>
      <c r="G6" s="92" t="s">
        <v>157</v>
      </c>
      <c r="H6" s="63" t="s">
        <v>132</v>
      </c>
      <c r="I6" s="63" t="s">
        <v>21</v>
      </c>
      <c r="J6" s="64">
        <f>'[2]2023-24'!$DN$70-'[1]Sale of power'!$C$9</f>
        <v>46040.405592032999</v>
      </c>
      <c r="K6" s="62"/>
      <c r="L6" s="47"/>
    </row>
    <row r="7" spans="2:12">
      <c r="B7" s="45" t="s">
        <v>59</v>
      </c>
      <c r="C7" s="46">
        <f>'[1]2023-24'!$DF$6</f>
        <v>0</v>
      </c>
      <c r="D7" s="39"/>
      <c r="E7" s="40"/>
      <c r="F7" s="40"/>
      <c r="G7" s="93" t="s">
        <v>133</v>
      </c>
      <c r="H7" s="16" t="s">
        <v>134</v>
      </c>
      <c r="I7" s="16" t="s">
        <v>162</v>
      </c>
      <c r="J7" s="22">
        <f>J5/J6*10</f>
        <v>1.0099411463057615</v>
      </c>
      <c r="K7" s="25"/>
      <c r="L7" s="40"/>
    </row>
    <row r="8" spans="2:12" ht="31.5">
      <c r="B8" s="45" t="s">
        <v>60</v>
      </c>
      <c r="C8" s="46">
        <f>'[1]2023-24'!$DF$7</f>
        <v>0</v>
      </c>
      <c r="D8" s="39"/>
      <c r="E8" s="40"/>
      <c r="F8" s="40"/>
      <c r="G8" s="94" t="s">
        <v>135</v>
      </c>
      <c r="H8" s="16" t="s">
        <v>136</v>
      </c>
      <c r="I8" s="16" t="s">
        <v>161</v>
      </c>
      <c r="J8" s="17">
        <v>1599.72</v>
      </c>
      <c r="K8" s="26"/>
      <c r="L8" s="40"/>
    </row>
    <row r="9" spans="2:12" ht="31.5">
      <c r="B9" s="45" t="s">
        <v>61</v>
      </c>
      <c r="C9" s="46">
        <f>'[1]2023-24'!$DF$8</f>
        <v>0.94010080374972971</v>
      </c>
      <c r="D9" s="39"/>
      <c r="E9" s="40"/>
      <c r="F9" s="40"/>
      <c r="G9" s="94" t="s">
        <v>137</v>
      </c>
      <c r="H9" s="16" t="s">
        <v>138</v>
      </c>
      <c r="I9" s="16" t="s">
        <v>163</v>
      </c>
      <c r="J9" s="21">
        <f>0.5*J8/J5</f>
        <v>0.1720199319972214</v>
      </c>
      <c r="K9" s="27"/>
      <c r="L9" s="40"/>
    </row>
    <row r="10" spans="2:12" ht="31.5">
      <c r="B10" s="45" t="s">
        <v>62</v>
      </c>
      <c r="C10" s="46">
        <f>'[1]2023-24'!$DF$9</f>
        <v>1.1785811061771312</v>
      </c>
      <c r="D10" s="39"/>
      <c r="E10" s="40"/>
      <c r="F10" s="48"/>
      <c r="G10" s="95" t="s">
        <v>139</v>
      </c>
      <c r="H10" s="18" t="s">
        <v>140</v>
      </c>
      <c r="I10" s="15" t="s">
        <v>162</v>
      </c>
      <c r="J10" s="18">
        <f>J7*J9</f>
        <v>0.17373000730871294</v>
      </c>
      <c r="K10" s="28"/>
      <c r="L10" s="48"/>
    </row>
    <row r="11" spans="2:12">
      <c r="B11" s="45" t="s">
        <v>96</v>
      </c>
      <c r="C11" s="46">
        <f>'[1]2023-24'!$DF$10</f>
        <v>41.951070356562468</v>
      </c>
      <c r="D11" s="39"/>
      <c r="E11" s="40"/>
    </row>
    <row r="12" spans="2:12">
      <c r="B12" s="45" t="s">
        <v>116</v>
      </c>
      <c r="C12" s="46">
        <f>'[1]2023-24'!$DF$11</f>
        <v>1.8129835000746355</v>
      </c>
      <c r="D12" s="39"/>
      <c r="E12" s="40"/>
    </row>
    <row r="13" spans="2:12">
      <c r="B13" s="45" t="s">
        <v>117</v>
      </c>
      <c r="C13" s="46">
        <f>'[1]2023-24'!$DF$12</f>
        <v>2.4798538025872858</v>
      </c>
      <c r="D13" s="39"/>
      <c r="E13" s="40"/>
      <c r="F13" s="106" t="s">
        <v>142</v>
      </c>
      <c r="G13" s="106"/>
      <c r="H13" s="106"/>
      <c r="I13" s="106"/>
      <c r="J13" s="106"/>
    </row>
    <row r="14" spans="2:12">
      <c r="B14" s="45" t="s">
        <v>118</v>
      </c>
      <c r="C14" s="46">
        <f>'[1]2023-24'!$DF$13</f>
        <v>1.7631000000000001E-3</v>
      </c>
      <c r="D14" s="39"/>
      <c r="E14" s="40"/>
      <c r="F14" s="65" t="s">
        <v>143</v>
      </c>
      <c r="G14" s="66" t="s">
        <v>145</v>
      </c>
      <c r="H14" s="65"/>
      <c r="I14" s="65" t="s">
        <v>161</v>
      </c>
      <c r="J14" s="67">
        <f>'[3]Sc.wise Oct to March Revised'!$DM$376</f>
        <v>161.18924927800001</v>
      </c>
      <c r="K14" s="49"/>
    </row>
    <row r="15" spans="2:12" ht="31.5">
      <c r="B15" s="45" t="s">
        <v>119</v>
      </c>
      <c r="C15" s="46">
        <f>'[1]2023-24'!$DF$14</f>
        <v>4.1465E-3</v>
      </c>
      <c r="D15" s="39"/>
      <c r="E15" s="40"/>
      <c r="F15" s="16" t="s">
        <v>154</v>
      </c>
      <c r="G15" s="12" t="s">
        <v>146</v>
      </c>
      <c r="H15" s="19">
        <f>9249.78/29379.06</f>
        <v>0.31484261239127459</v>
      </c>
      <c r="I15" s="19" t="s">
        <v>161</v>
      </c>
      <c r="J15" s="20">
        <f>J14*H15</f>
        <v>50.749244332073893</v>
      </c>
      <c r="K15" s="50"/>
    </row>
    <row r="16" spans="2:12" ht="31.5">
      <c r="B16" s="45" t="s">
        <v>120</v>
      </c>
      <c r="C16" s="46">
        <f>'[1]2023-24'!$DF$15</f>
        <v>0</v>
      </c>
      <c r="D16" s="39"/>
      <c r="E16" s="40"/>
      <c r="F16" s="16" t="s">
        <v>160</v>
      </c>
      <c r="G16" s="15" t="s">
        <v>147</v>
      </c>
      <c r="H16" s="13" t="s">
        <v>158</v>
      </c>
      <c r="I16" s="13" t="s">
        <v>161</v>
      </c>
      <c r="J16" s="20">
        <f>J15*0.828</f>
        <v>42.02037430695718</v>
      </c>
    </row>
    <row r="17" spans="2:13" ht="31.5">
      <c r="B17" s="45" t="s">
        <v>121</v>
      </c>
      <c r="C17" s="46">
        <f>'[1]2023-24'!$DF$16</f>
        <v>1.0226E-3</v>
      </c>
      <c r="D17" s="39"/>
      <c r="E17" s="47"/>
      <c r="F17" s="16" t="s">
        <v>144</v>
      </c>
      <c r="G17" s="12" t="s">
        <v>148</v>
      </c>
      <c r="H17" s="16"/>
      <c r="I17" s="16" t="s">
        <v>161</v>
      </c>
      <c r="J17" s="20">
        <f>J14-J16</f>
        <v>119.16887497104283</v>
      </c>
      <c r="K17" s="47"/>
      <c r="L17" s="47"/>
    </row>
    <row r="18" spans="2:13">
      <c r="B18" s="45" t="s">
        <v>122</v>
      </c>
      <c r="C18" s="46">
        <f>'[1]2023-24'!$DF$17</f>
        <v>4.4508000000000004E-3</v>
      </c>
      <c r="D18" s="39"/>
      <c r="E18" s="51"/>
      <c r="F18" s="31"/>
    </row>
    <row r="19" spans="2:13">
      <c r="B19" s="96" t="s">
        <v>166</v>
      </c>
      <c r="C19" s="46">
        <f>'[1]2023-24'!$DF$18</f>
        <v>1.3561200000000001E-2</v>
      </c>
      <c r="D19" s="39"/>
      <c r="E19" s="51"/>
      <c r="F19" s="31"/>
    </row>
    <row r="20" spans="2:13">
      <c r="B20" s="96" t="s">
        <v>167</v>
      </c>
      <c r="C20" s="46">
        <f>'[1]2023-24'!$DF$19</f>
        <v>-2.9899999999999998E-5</v>
      </c>
      <c r="D20" s="39"/>
      <c r="E20" s="51"/>
      <c r="F20" s="37"/>
      <c r="H20" s="37"/>
      <c r="I20" s="37"/>
    </row>
    <row r="21" spans="2:13">
      <c r="B21" s="45" t="s">
        <v>63</v>
      </c>
      <c r="C21" s="46">
        <f>'[1]2023-24'!$DF$20</f>
        <v>108.5567334</v>
      </c>
      <c r="D21" s="39"/>
      <c r="E21" s="47"/>
      <c r="F21" s="37"/>
      <c r="H21" s="37"/>
      <c r="I21" s="37"/>
      <c r="J21" s="52"/>
    </row>
    <row r="22" spans="2:13" ht="15.75" customHeight="1">
      <c r="B22" s="45" t="s">
        <v>64</v>
      </c>
      <c r="C22" s="46">
        <f>'[1]2023-24'!$DF$21</f>
        <v>25.587522700000001</v>
      </c>
      <c r="D22" s="39"/>
      <c r="E22" s="47"/>
      <c r="F22" s="37"/>
      <c r="H22" s="37"/>
      <c r="I22" s="37"/>
    </row>
    <row r="23" spans="2:13">
      <c r="B23" s="45" t="s">
        <v>65</v>
      </c>
      <c r="C23" s="46">
        <f>'[1]2023-24'!$DF$22</f>
        <v>212.67957709999999</v>
      </c>
      <c r="D23" s="39"/>
      <c r="E23" s="53"/>
      <c r="F23" s="37"/>
      <c r="H23" s="37"/>
      <c r="I23" s="37"/>
    </row>
    <row r="24" spans="2:13">
      <c r="B24" s="45" t="s">
        <v>66</v>
      </c>
      <c r="C24" s="46">
        <f>'[1]2023-24'!$DF$23</f>
        <v>135.82813809999999</v>
      </c>
      <c r="D24" s="39"/>
      <c r="E24" s="47"/>
      <c r="F24" s="37"/>
      <c r="H24" s="37"/>
      <c r="I24" s="37"/>
    </row>
    <row r="25" spans="2:13">
      <c r="B25" s="45" t="s">
        <v>67</v>
      </c>
      <c r="C25" s="46">
        <f>'[1]2023-24'!$DF$24</f>
        <v>86.213883300000006</v>
      </c>
      <c r="D25" s="39"/>
      <c r="E25" s="47"/>
      <c r="G25" s="40"/>
    </row>
    <row r="26" spans="2:13">
      <c r="B26" s="45" t="s">
        <v>68</v>
      </c>
      <c r="C26" s="46">
        <f>'[1]2023-24'!$DF$25</f>
        <v>149.4122514</v>
      </c>
      <c r="D26" s="39"/>
      <c r="E26" s="47"/>
      <c r="F26" s="33"/>
      <c r="G26" s="40"/>
      <c r="L26" s="33"/>
      <c r="M26" s="34"/>
    </row>
    <row r="27" spans="2:13">
      <c r="B27" s="45" t="s">
        <v>156</v>
      </c>
      <c r="C27" s="45">
        <f>'[1]2023-24'!$DF$26</f>
        <v>459.49012920000001</v>
      </c>
      <c r="D27" s="39"/>
      <c r="E27" s="53"/>
      <c r="F27" s="35"/>
      <c r="G27" s="40"/>
      <c r="L27" s="33"/>
      <c r="M27" s="36"/>
    </row>
    <row r="28" spans="2:13">
      <c r="B28" s="45" t="s">
        <v>69</v>
      </c>
      <c r="C28" s="46">
        <f>'[1]2023-24'!$DF$27</f>
        <v>32.673439399999999</v>
      </c>
      <c r="D28" s="39"/>
      <c r="E28" s="47"/>
      <c r="F28" s="33"/>
      <c r="G28" s="40"/>
      <c r="L28" s="33"/>
      <c r="M28" s="36"/>
    </row>
    <row r="29" spans="2:13">
      <c r="B29" s="54" t="s">
        <v>70</v>
      </c>
      <c r="C29" s="46">
        <f>'[1]2023-24'!$DF$28</f>
        <v>64.118997908431609</v>
      </c>
      <c r="D29" s="39"/>
      <c r="E29" s="47"/>
      <c r="G29" s="40"/>
      <c r="M29" s="36"/>
    </row>
    <row r="30" spans="2:13">
      <c r="B30" s="85" t="s">
        <v>56</v>
      </c>
      <c r="C30" s="86">
        <f>SUM(C6:C29)</f>
        <v>1322.9481763775827</v>
      </c>
      <c r="D30" s="103"/>
      <c r="E30" s="47"/>
      <c r="G30" s="40"/>
    </row>
    <row r="31" spans="2:13">
      <c r="B31" s="55" t="s">
        <v>71</v>
      </c>
      <c r="C31" s="46"/>
      <c r="D31" s="39"/>
      <c r="E31" s="47"/>
      <c r="G31" s="40"/>
    </row>
    <row r="32" spans="2:13">
      <c r="B32" s="56" t="s">
        <v>123</v>
      </c>
      <c r="C32" s="46">
        <f>'[1]2023-24'!$DF$31</f>
        <v>551.69878633529993</v>
      </c>
      <c r="D32" s="39"/>
      <c r="E32" s="47"/>
      <c r="G32" s="40"/>
    </row>
    <row r="33" spans="2:10">
      <c r="B33" s="56" t="s">
        <v>124</v>
      </c>
      <c r="C33" s="46">
        <f>'[1]2023-24'!$DF$32</f>
        <v>155.88898795</v>
      </c>
      <c r="D33" s="39"/>
      <c r="E33" s="47"/>
      <c r="G33" s="40"/>
    </row>
    <row r="34" spans="2:10">
      <c r="B34" s="87" t="s">
        <v>72</v>
      </c>
      <c r="C34" s="86">
        <f>SUM(C32:C33)</f>
        <v>707.58777428529993</v>
      </c>
      <c r="D34" s="103"/>
      <c r="E34" s="47"/>
    </row>
    <row r="35" spans="2:10">
      <c r="B35" s="45" t="s">
        <v>73</v>
      </c>
      <c r="C35" s="46">
        <f>'[1]2023-24'!$DF$39</f>
        <v>191.26499999999999</v>
      </c>
      <c r="D35" s="39"/>
      <c r="E35" s="47"/>
    </row>
    <row r="36" spans="2:10">
      <c r="B36" s="45" t="s">
        <v>74</v>
      </c>
      <c r="C36" s="46">
        <f>'[1]2023-24'!$DF$40</f>
        <v>298.93999980000001</v>
      </c>
      <c r="D36" s="39"/>
      <c r="E36" s="47"/>
    </row>
    <row r="37" spans="2:10">
      <c r="B37" s="44" t="s">
        <v>77</v>
      </c>
      <c r="C37" s="46">
        <f>'[1]2023-24'!$DF$41</f>
        <v>672.70500000000004</v>
      </c>
      <c r="D37" s="39"/>
      <c r="E37" s="47"/>
      <c r="G37" s="57"/>
    </row>
    <row r="38" spans="2:10">
      <c r="B38" s="45" t="s">
        <v>55</v>
      </c>
      <c r="C38" s="46">
        <f>'[1]2023-24'!$DF$42</f>
        <v>32.142605099999997</v>
      </c>
      <c r="D38" s="39"/>
      <c r="E38" s="47"/>
      <c r="G38" s="58"/>
    </row>
    <row r="39" spans="2:10">
      <c r="B39" s="45" t="s">
        <v>75</v>
      </c>
      <c r="C39" s="46">
        <f>'[1]2023-24'!$DF$43</f>
        <v>209.93500019999999</v>
      </c>
      <c r="D39" s="39"/>
      <c r="E39" s="47"/>
      <c r="G39" s="47"/>
    </row>
    <row r="40" spans="2:10">
      <c r="B40" s="45" t="s">
        <v>76</v>
      </c>
      <c r="C40" s="46">
        <f>'[1]2023-24'!$DF$44</f>
        <v>374.59999979999998</v>
      </c>
      <c r="D40" s="39"/>
      <c r="E40" s="53"/>
      <c r="F40" s="51"/>
      <c r="G40" s="47"/>
    </row>
    <row r="41" spans="2:10">
      <c r="B41" s="44" t="s">
        <v>125</v>
      </c>
      <c r="C41" s="46">
        <f>'[1]2023-24'!$DF$45</f>
        <v>681.34271579999995</v>
      </c>
      <c r="D41" s="39"/>
      <c r="E41" s="47"/>
      <c r="G41" s="47"/>
    </row>
    <row r="42" spans="2:10">
      <c r="B42" s="45" t="s">
        <v>78</v>
      </c>
      <c r="C42" s="46">
        <f>'[4]2023-24'!$DN$47</f>
        <v>584.04000000000008</v>
      </c>
      <c r="D42" s="39"/>
      <c r="E42" s="47"/>
      <c r="G42" s="47"/>
    </row>
    <row r="43" spans="2:10">
      <c r="B43" s="45" t="s">
        <v>79</v>
      </c>
      <c r="C43" s="46">
        <f>'[1]2023-24'!$DF$48</f>
        <v>621.17250000000001</v>
      </c>
      <c r="D43" s="39"/>
      <c r="E43" s="53"/>
      <c r="G43" s="47"/>
    </row>
    <row r="44" spans="2:10">
      <c r="B44" s="45" t="s">
        <v>126</v>
      </c>
      <c r="C44" s="46">
        <f>'[4]2023-24'!$DN$49</f>
        <v>34.159999999999997</v>
      </c>
      <c r="D44" s="39"/>
      <c r="E44" s="53"/>
      <c r="G44" s="58"/>
    </row>
    <row r="45" spans="2:10">
      <c r="B45" s="45" t="s">
        <v>127</v>
      </c>
      <c r="C45" s="46">
        <f>'[1]2023-24'!$DF$50</f>
        <v>0</v>
      </c>
      <c r="D45" s="39"/>
      <c r="E45" s="47"/>
      <c r="G45" s="47"/>
    </row>
    <row r="46" spans="2:10">
      <c r="B46" s="45" t="s">
        <v>128</v>
      </c>
      <c r="C46" s="46">
        <f>'[1]2023-24'!$DF$51</f>
        <v>0</v>
      </c>
      <c r="D46" s="39"/>
      <c r="E46" s="47"/>
      <c r="G46" s="47"/>
    </row>
    <row r="47" spans="2:10">
      <c r="B47" s="88" t="s">
        <v>80</v>
      </c>
      <c r="C47" s="86">
        <f>SUM(C35:C46)</f>
        <v>3700.3028207000002</v>
      </c>
      <c r="D47" s="103"/>
      <c r="E47" s="47"/>
      <c r="G47" s="47"/>
    </row>
    <row r="48" spans="2:10">
      <c r="B48" s="45" t="s">
        <v>81</v>
      </c>
      <c r="C48" s="46">
        <f>'[1]2023-24'!$DF$53</f>
        <v>660.90134550000005</v>
      </c>
      <c r="D48" s="39"/>
      <c r="E48" s="53"/>
      <c r="G48" s="58"/>
      <c r="H48" s="47"/>
      <c r="I48" s="47"/>
      <c r="J48" s="47"/>
    </row>
    <row r="49" spans="2:7">
      <c r="B49" s="45" t="s">
        <v>82</v>
      </c>
      <c r="C49" s="46">
        <f>'[1]2023-24'!$DF$54</f>
        <v>0</v>
      </c>
      <c r="D49" s="39"/>
      <c r="E49" s="47"/>
      <c r="G49" s="41"/>
    </row>
    <row r="50" spans="2:7">
      <c r="B50" s="88" t="s">
        <v>168</v>
      </c>
      <c r="C50" s="86">
        <f>H24</f>
        <v>0</v>
      </c>
      <c r="D50" s="39"/>
      <c r="E50" s="102"/>
      <c r="G50" s="41"/>
    </row>
    <row r="51" spans="2:7">
      <c r="B51" s="88" t="s">
        <v>90</v>
      </c>
      <c r="C51" s="86">
        <f>C49+C48+C47+C34+C30+C50</f>
        <v>6391.740116862883</v>
      </c>
      <c r="D51" s="103"/>
      <c r="E51" s="47"/>
    </row>
    <row r="52" spans="2:7">
      <c r="B52" s="89" t="s">
        <v>91</v>
      </c>
      <c r="C52" s="86">
        <f>C53+C54+C55</f>
        <v>1279.3673238776544</v>
      </c>
      <c r="D52" s="103"/>
      <c r="E52" s="58"/>
    </row>
    <row r="53" spans="2:7">
      <c r="B53" s="59" t="s">
        <v>129</v>
      </c>
      <c r="C53" s="46">
        <f>'[1]2023-24'!$DF$55</f>
        <v>1274.2782024000001</v>
      </c>
      <c r="D53" s="39"/>
      <c r="E53" s="47"/>
    </row>
    <row r="54" spans="2:7">
      <c r="B54" s="59" t="s">
        <v>83</v>
      </c>
      <c r="C54" s="46">
        <f>'[4]2023-24'!$DN$56</f>
        <v>1.7259546000000001</v>
      </c>
      <c r="D54" s="39"/>
      <c r="E54" s="47"/>
    </row>
    <row r="55" spans="2:7">
      <c r="B55" s="59" t="s">
        <v>84</v>
      </c>
      <c r="C55" s="46">
        <f>'[4]2023-24'!$DN$59</f>
        <v>3.3631668776543711</v>
      </c>
      <c r="D55" s="39"/>
      <c r="E55" s="58"/>
    </row>
    <row r="56" spans="2:7">
      <c r="B56" s="89" t="s">
        <v>92</v>
      </c>
      <c r="C56" s="86">
        <f>C57+C58</f>
        <v>1898.2822859999999</v>
      </c>
      <c r="D56" s="104"/>
    </row>
    <row r="57" spans="2:7">
      <c r="B57" s="45" t="s">
        <v>85</v>
      </c>
      <c r="C57" s="46">
        <f>'[1]2023-24'!$DF$60</f>
        <v>563.14697339999998</v>
      </c>
      <c r="D57" s="39"/>
      <c r="E57" s="60"/>
    </row>
    <row r="58" spans="2:7">
      <c r="B58" s="45" t="s">
        <v>86</v>
      </c>
      <c r="C58" s="46">
        <f>'[1]2023-24'!$DF$61</f>
        <v>1335.1353125999999</v>
      </c>
    </row>
    <row r="59" spans="2:7">
      <c r="B59" s="88" t="s">
        <v>93</v>
      </c>
      <c r="C59" s="90">
        <f>C60+C61</f>
        <v>19.8729996</v>
      </c>
      <c r="D59" s="104"/>
      <c r="F59" s="47"/>
    </row>
    <row r="60" spans="2:7">
      <c r="B60" s="45" t="s">
        <v>87</v>
      </c>
      <c r="C60" s="46">
        <f>'[1]2023-24'!$DF$62</f>
        <v>5.8506168000000001</v>
      </c>
    </row>
    <row r="61" spans="2:7">
      <c r="B61" s="45" t="s">
        <v>88</v>
      </c>
      <c r="C61" s="46">
        <f>'[1]2023-24'!$DF$63</f>
        <v>14.022382800000001</v>
      </c>
    </row>
    <row r="62" spans="2:7">
      <c r="B62" s="88" t="s">
        <v>94</v>
      </c>
      <c r="C62" s="90">
        <f>C59+C56+C52</f>
        <v>3197.5226094776544</v>
      </c>
    </row>
    <row r="64" spans="2:7">
      <c r="B64" s="38" t="s">
        <v>95</v>
      </c>
      <c r="C64" s="61">
        <f>C62+C51</f>
        <v>9589.2627263405375</v>
      </c>
    </row>
  </sheetData>
  <mergeCells count="2">
    <mergeCell ref="G4:J4"/>
    <mergeCell ref="F13:J13"/>
  </mergeCells>
  <pageMargins left="0.7" right="0.7" top="0.75" bottom="0.75" header="0.3" footer="0.3"/>
  <pageSetup paperSize="9" scale="53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B1:I25"/>
  <sheetViews>
    <sheetView showGridLines="0" workbookViewId="0">
      <selection activeCell="H30" sqref="H30"/>
    </sheetView>
  </sheetViews>
  <sheetFormatPr defaultColWidth="8.7109375" defaultRowHeight="15.75"/>
  <cols>
    <col min="1" max="1" width="8.7109375" style="23" bestFit="1"/>
    <col min="2" max="2" width="28.42578125" style="23" bestFit="1" customWidth="1"/>
    <col min="3" max="8" width="16.42578125" style="23" bestFit="1" customWidth="1"/>
    <col min="9" max="9" width="11.42578125" style="29" bestFit="1" customWidth="1"/>
    <col min="10" max="10" width="8.7109375" style="23" bestFit="1"/>
    <col min="11" max="11" width="8.85546875" style="23" bestFit="1" customWidth="1"/>
    <col min="12" max="12" width="8.7109375" style="23" bestFit="1"/>
    <col min="13" max="16384" width="8.7109375" style="23"/>
  </cols>
  <sheetData>
    <row r="1" spans="2:9">
      <c r="C1" s="29"/>
      <c r="D1" s="29"/>
      <c r="E1" s="29"/>
      <c r="F1" s="29"/>
      <c r="G1" s="29"/>
      <c r="H1" s="29"/>
    </row>
    <row r="3" spans="2:9">
      <c r="B3" s="14" t="s">
        <v>97</v>
      </c>
      <c r="C3" s="84">
        <v>45200</v>
      </c>
      <c r="D3" s="84">
        <v>45231</v>
      </c>
      <c r="E3" s="84">
        <v>45261</v>
      </c>
      <c r="F3" s="84">
        <v>45292</v>
      </c>
      <c r="G3" s="84">
        <v>45323</v>
      </c>
      <c r="H3" s="84">
        <v>45352</v>
      </c>
      <c r="I3" s="68" t="s">
        <v>98</v>
      </c>
    </row>
    <row r="4" spans="2:9">
      <c r="B4" s="15" t="s">
        <v>99</v>
      </c>
      <c r="C4" s="69">
        <f>'[5]Day (1)'!$CU$25</f>
        <v>28037430.267608479</v>
      </c>
      <c r="D4" s="69">
        <f>'[6]Day (1)'!$CU$25</f>
        <v>23223986.968947589</v>
      </c>
      <c r="E4" s="69">
        <f>'[7]Day (1)'!$CU$25</f>
        <v>23976307.432643421</v>
      </c>
      <c r="F4" s="69">
        <f>'[8]Day (1)'!$CU$25</f>
        <v>27726958.712721184</v>
      </c>
      <c r="G4" s="69">
        <f>'[9]Day (1)'!$CU$25</f>
        <v>26886485.011795104</v>
      </c>
      <c r="H4" s="69">
        <f>'[10]Day (1)'!$CU$25</f>
        <v>29896756.48559162</v>
      </c>
      <c r="I4" s="70">
        <f>SUM(C4:H4)/(96*183)</f>
        <v>9093.1195855707756</v>
      </c>
    </row>
    <row r="5" spans="2:9">
      <c r="B5" s="15" t="s">
        <v>100</v>
      </c>
      <c r="C5" s="69">
        <f>'[5]Day (1)'!$CU$53</f>
        <v>26996437.423608478</v>
      </c>
      <c r="D5" s="69">
        <f>'[6]Day (1)'!$CU$53</f>
        <v>20957304.849347591</v>
      </c>
      <c r="E5" s="69">
        <f>'[7]Day (1)'!$CU$53</f>
        <v>21503715.950643435</v>
      </c>
      <c r="F5" s="69">
        <f>'[8]Day (1)'!$CU$53</f>
        <v>24719145.320397321</v>
      </c>
      <c r="G5" s="69">
        <f>'[9]Day (1)'!$CU$53</f>
        <v>23411901.602399893</v>
      </c>
      <c r="H5" s="69">
        <f>'[10]Day (1)'!$CU$53</f>
        <v>25934093.653381843</v>
      </c>
      <c r="I5" s="70">
        <f t="shared" ref="I5:I9" si="0">SUM(C5:H5)/(96*183)</f>
        <v>8169.5468351422232</v>
      </c>
    </row>
    <row r="6" spans="2:9">
      <c r="B6" s="15" t="s">
        <v>149</v>
      </c>
      <c r="C6" s="69">
        <f>'[5]Day (1)'!$CU$55</f>
        <v>1040992.8440000004</v>
      </c>
      <c r="D6" s="69">
        <f>'[6]Day (1)'!$CU$55</f>
        <v>2266682.1195999994</v>
      </c>
      <c r="E6" s="69">
        <f>'[7]Day (1)'!$CU$55</f>
        <v>2472591.4819999998</v>
      </c>
      <c r="F6" s="69">
        <f>'[8]Day (1)'!$CU$55</f>
        <v>3007813.3923238688</v>
      </c>
      <c r="G6" s="69">
        <f>'[9]Day (1)'!$CU$55</f>
        <v>3474583.4093952021</v>
      </c>
      <c r="H6" s="69">
        <f>'[10]Day (1)'!$CU$55</f>
        <v>3962662.8322097757</v>
      </c>
      <c r="I6" s="70">
        <f t="shared" si="0"/>
        <v>923.5727504285544</v>
      </c>
    </row>
    <row r="7" spans="2:9" ht="31.5">
      <c r="B7" s="12" t="s">
        <v>150</v>
      </c>
      <c r="C7" s="69">
        <f>'[5]Day (1)'!$CU$56</f>
        <v>6478990.2999999998</v>
      </c>
      <c r="D7" s="69">
        <f>'[6]Day (1)'!$CU$56</f>
        <v>4967674.01</v>
      </c>
      <c r="E7" s="69">
        <f>'[7]Day (1)'!$CU$56</f>
        <v>5571320.0600000015</v>
      </c>
      <c r="F7" s="69">
        <f>'[8]Day (1)'!$CU$56</f>
        <v>5516634.5099999998</v>
      </c>
      <c r="G7" s="69">
        <f>'[9]Day (1)'!$CU$56</f>
        <v>5745605.6499999911</v>
      </c>
      <c r="H7" s="69">
        <f>'[10]Day (1)'!$CU$56</f>
        <v>6893027.6999999983</v>
      </c>
      <c r="I7" s="70">
        <f t="shared" si="0"/>
        <v>2002.120459357923</v>
      </c>
    </row>
    <row r="8" spans="2:9" ht="47.25">
      <c r="B8" s="12" t="s">
        <v>151</v>
      </c>
      <c r="C8" s="69">
        <f>'[5]Day (1)'!$CU$57</f>
        <v>94370.805000000139</v>
      </c>
      <c r="D8" s="69">
        <f>'[6]Day (1)'!$CU$57</f>
        <v>463688.62479999993</v>
      </c>
      <c r="E8" s="69">
        <f>'[7]Day (1)'!$CU$57</f>
        <v>264183.77499999997</v>
      </c>
      <c r="F8" s="69">
        <f>'[8]Day (1)'!$CU$57</f>
        <v>1194025.8958238699</v>
      </c>
      <c r="G8" s="69">
        <f>'[9]Day (1)'!$CU$57</f>
        <v>604458.47917330032</v>
      </c>
      <c r="H8" s="69">
        <f>'[10]Day (1)'!$CU$57</f>
        <v>738510.18000466633</v>
      </c>
      <c r="I8" s="70">
        <f t="shared" si="0"/>
        <v>191.21344261167104</v>
      </c>
    </row>
    <row r="9" spans="2:9">
      <c r="B9" s="15" t="s">
        <v>101</v>
      </c>
      <c r="C9" s="69">
        <f>'[5]Day (1)'!$CU$96</f>
        <v>285512.35395627987</v>
      </c>
      <c r="D9" s="69">
        <f>'[6]Day (1)'!$CU$96</f>
        <v>255996.77225300006</v>
      </c>
      <c r="E9" s="69">
        <f>'[7]Day (1)'!$CU$96</f>
        <v>162051.88053206005</v>
      </c>
      <c r="F9" s="69">
        <f>'[8]Day (1)'!$CU$96</f>
        <v>166356.98716403983</v>
      </c>
      <c r="G9" s="69">
        <f>'[9]Day (1)'!$CU$96</f>
        <v>286697.36875311972</v>
      </c>
      <c r="H9" s="69">
        <f>'[10]Day (1)'!$CU$96</f>
        <v>224630.63707775989</v>
      </c>
      <c r="I9" s="70">
        <f t="shared" si="0"/>
        <v>78.622836961308039</v>
      </c>
    </row>
    <row r="10" spans="2:9">
      <c r="B10" s="14" t="s">
        <v>102</v>
      </c>
      <c r="C10" s="70">
        <f>'[5]Day (1)'!$CU$99</f>
        <v>33767.961941840011</v>
      </c>
      <c r="D10" s="70">
        <f>'[6]Day (1)'!$CU$99</f>
        <v>91498.663179999974</v>
      </c>
      <c r="E10" s="70">
        <f>'[7]Day (1)'!$CU$99</f>
        <v>32338.56596416</v>
      </c>
      <c r="F10" s="70">
        <f>'[8]Day (1)'!$CU$99</f>
        <v>28704.913448980005</v>
      </c>
      <c r="G10" s="70">
        <f>'[9]Day (1)'!$CU$99</f>
        <v>109754.85223739997</v>
      </c>
      <c r="H10" s="70">
        <f>'[10]Day (1)'!$CU$99</f>
        <v>111685.43491178959</v>
      </c>
      <c r="I10" s="70">
        <f>SUM(C10:H10)/(96*183)</f>
        <v>23.209835592222763</v>
      </c>
    </row>
    <row r="11" spans="2:9">
      <c r="B11" s="107" t="s">
        <v>103</v>
      </c>
      <c r="C11" s="107"/>
      <c r="D11" s="107"/>
      <c r="E11" s="107"/>
      <c r="F11" s="107"/>
      <c r="G11" s="107"/>
      <c r="H11" s="107"/>
      <c r="I11" s="107"/>
    </row>
    <row r="12" spans="2:9">
      <c r="B12" s="107"/>
      <c r="C12" s="107"/>
      <c r="D12" s="107"/>
      <c r="E12" s="107"/>
      <c r="F12" s="107"/>
      <c r="G12" s="107"/>
      <c r="H12" s="107"/>
      <c r="I12" s="107"/>
    </row>
    <row r="16" spans="2:9" hidden="1">
      <c r="B16" s="14" t="s">
        <v>97</v>
      </c>
      <c r="C16" s="84">
        <v>45200</v>
      </c>
      <c r="D16" s="84">
        <v>45231</v>
      </c>
      <c r="E16" s="84">
        <v>45261</v>
      </c>
      <c r="F16" s="84">
        <v>45292</v>
      </c>
      <c r="G16" s="84">
        <v>45323</v>
      </c>
      <c r="H16" s="84">
        <v>45352</v>
      </c>
      <c r="I16" s="68" t="s">
        <v>98</v>
      </c>
    </row>
    <row r="17" spans="2:9" hidden="1">
      <c r="B17" s="15" t="s">
        <v>99</v>
      </c>
      <c r="C17" s="69">
        <f>C4/(96*31)</f>
        <v>9421.1795254060744</v>
      </c>
      <c r="D17" s="69">
        <f>D4/(30*96)</f>
        <v>8063.8843642179127</v>
      </c>
      <c r="E17" s="69">
        <f>E4/(31*96)</f>
        <v>8056.5549168828702</v>
      </c>
      <c r="F17" s="69">
        <f>F4/(31*96)</f>
        <v>9316.8544061563116</v>
      </c>
      <c r="G17" s="69">
        <f t="shared" ref="G17:G23" si="1">G4/(29*96)</f>
        <v>9657.5018002137585</v>
      </c>
      <c r="H17" s="69">
        <f>H4/(31*96)</f>
        <v>10045.953120158474</v>
      </c>
      <c r="I17" s="70">
        <f>AVERAGE(C17:H17)</f>
        <v>9093.654688839235</v>
      </c>
    </row>
    <row r="18" spans="2:9" hidden="1">
      <c r="B18" s="15" t="s">
        <v>100</v>
      </c>
      <c r="C18" s="69">
        <f t="shared" ref="C18:C23" si="2">C5/(96*31)</f>
        <v>9071.3835428791936</v>
      </c>
      <c r="D18" s="69">
        <f t="shared" ref="D18:D23" si="3">D5/(30*96)</f>
        <v>7276.8419615790244</v>
      </c>
      <c r="E18" s="69">
        <f t="shared" ref="E18:E23" si="4">E5/(31*96)</f>
        <v>7225.7110049205094</v>
      </c>
      <c r="F18" s="69">
        <f t="shared" ref="F18:F23" si="5">F5/(31*96)</f>
        <v>8306.16442217652</v>
      </c>
      <c r="G18" s="69">
        <f t="shared" si="1"/>
        <v>8409.4474146551347</v>
      </c>
      <c r="H18" s="69">
        <f t="shared" ref="H18:H23" si="6">H5/(31*96)</f>
        <v>8714.4131899804579</v>
      </c>
      <c r="I18" s="70">
        <f t="shared" ref="I18:I23" si="7">AVERAGE(C18:H18)</f>
        <v>8167.326922698473</v>
      </c>
    </row>
    <row r="19" spans="2:9" hidden="1">
      <c r="B19" s="15" t="s">
        <v>149</v>
      </c>
      <c r="C19" s="69">
        <f t="shared" si="2"/>
        <v>349.79598252688186</v>
      </c>
      <c r="D19" s="69">
        <f t="shared" si="3"/>
        <v>787.04240263888869</v>
      </c>
      <c r="E19" s="69">
        <f t="shared" si="4"/>
        <v>830.8439119623655</v>
      </c>
      <c r="F19" s="69">
        <f t="shared" si="5"/>
        <v>1010.6899839797946</v>
      </c>
      <c r="G19" s="69">
        <f t="shared" si="1"/>
        <v>1248.0543855586213</v>
      </c>
      <c r="H19" s="69">
        <f t="shared" si="6"/>
        <v>1331.539930178016</v>
      </c>
      <c r="I19" s="70">
        <f t="shared" si="7"/>
        <v>926.32776614076136</v>
      </c>
    </row>
    <row r="20" spans="2:9" ht="31.5" hidden="1">
      <c r="B20" s="12" t="s">
        <v>150</v>
      </c>
      <c r="C20" s="69">
        <f t="shared" si="2"/>
        <v>2177.0800739247311</v>
      </c>
      <c r="D20" s="69">
        <f t="shared" si="3"/>
        <v>1724.8868090277776</v>
      </c>
      <c r="E20" s="69">
        <f t="shared" si="4"/>
        <v>1872.0833534946241</v>
      </c>
      <c r="F20" s="69">
        <f t="shared" si="5"/>
        <v>1853.7078326612902</v>
      </c>
      <c r="G20" s="69">
        <f t="shared" si="1"/>
        <v>2063.7951329022958</v>
      </c>
      <c r="H20" s="69">
        <f t="shared" si="6"/>
        <v>2316.2055443548384</v>
      </c>
      <c r="I20" s="70">
        <f t="shared" si="7"/>
        <v>2001.2931243942594</v>
      </c>
    </row>
    <row r="21" spans="2:9" ht="47.25" hidden="1">
      <c r="B21" s="12" t="s">
        <v>151</v>
      </c>
      <c r="C21" s="69">
        <f t="shared" si="2"/>
        <v>31.710619959677466</v>
      </c>
      <c r="D21" s="69">
        <f t="shared" si="3"/>
        <v>161.00299472222221</v>
      </c>
      <c r="E21" s="69">
        <f t="shared" si="4"/>
        <v>88.771429771505368</v>
      </c>
      <c r="F21" s="69">
        <f t="shared" si="5"/>
        <v>401.21837897307455</v>
      </c>
      <c r="G21" s="69">
        <f t="shared" si="1"/>
        <v>217.11870659960499</v>
      </c>
      <c r="H21" s="69">
        <f t="shared" si="6"/>
        <v>248.15530242092282</v>
      </c>
      <c r="I21" s="70">
        <f t="shared" si="7"/>
        <v>191.32957207450124</v>
      </c>
    </row>
    <row r="22" spans="2:9" hidden="1">
      <c r="B22" s="15" t="s">
        <v>101</v>
      </c>
      <c r="C22" s="69">
        <f t="shared" si="2"/>
        <v>95.938290979932745</v>
      </c>
      <c r="D22" s="69">
        <f t="shared" si="3"/>
        <v>88.887768143402795</v>
      </c>
      <c r="E22" s="69">
        <f t="shared" si="4"/>
        <v>54.452916845450289</v>
      </c>
      <c r="F22" s="69">
        <f t="shared" si="5"/>
        <v>55.899525256733817</v>
      </c>
      <c r="G22" s="69">
        <f t="shared" si="1"/>
        <v>102.98037670729875</v>
      </c>
      <c r="H22" s="69">
        <f t="shared" si="6"/>
        <v>75.480724824516088</v>
      </c>
      <c r="I22" s="70">
        <f t="shared" si="7"/>
        <v>78.939933792889079</v>
      </c>
    </row>
    <row r="23" spans="2:9" hidden="1">
      <c r="B23" s="15" t="s">
        <v>102</v>
      </c>
      <c r="C23" s="69">
        <f t="shared" si="2"/>
        <v>11.346761405188175</v>
      </c>
      <c r="D23" s="69">
        <f t="shared" si="3"/>
        <v>31.770369159722215</v>
      </c>
      <c r="E23" s="69">
        <f t="shared" si="4"/>
        <v>10.866453616989247</v>
      </c>
      <c r="F23" s="69">
        <f t="shared" si="5"/>
        <v>9.6454682288239262</v>
      </c>
      <c r="G23" s="69">
        <f t="shared" si="1"/>
        <v>39.423438303663787</v>
      </c>
      <c r="H23" s="69">
        <f t="shared" si="6"/>
        <v>37.528707967671231</v>
      </c>
      <c r="I23" s="70">
        <f t="shared" si="7"/>
        <v>23.430199780343099</v>
      </c>
    </row>
    <row r="24" spans="2:9" hidden="1">
      <c r="B24" s="107" t="s">
        <v>103</v>
      </c>
      <c r="C24" s="107"/>
      <c r="D24" s="107"/>
      <c r="E24" s="107"/>
      <c r="F24" s="107"/>
      <c r="G24" s="107"/>
      <c r="H24" s="107"/>
      <c r="I24" s="107"/>
    </row>
    <row r="25" spans="2:9" hidden="1">
      <c r="B25" s="107"/>
      <c r="C25" s="107"/>
      <c r="D25" s="107"/>
      <c r="E25" s="107"/>
      <c r="F25" s="107"/>
      <c r="G25" s="107"/>
      <c r="H25" s="107"/>
      <c r="I25" s="107"/>
    </row>
  </sheetData>
  <mergeCells count="2">
    <mergeCell ref="B11:I12"/>
    <mergeCell ref="B24:I25"/>
  </mergeCells>
  <printOptions horizontalCentered="1"/>
  <pageMargins left="0.7" right="0.7" top="0.75" bottom="0.75" header="0.3" footer="0.3"/>
  <pageSetup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70C0"/>
  </sheetPr>
  <dimension ref="A3:L50"/>
  <sheetViews>
    <sheetView showGridLines="0" tabSelected="1" zoomScaleSheetLayoutView="70" workbookViewId="0">
      <selection activeCell="G16" sqref="G16"/>
    </sheetView>
  </sheetViews>
  <sheetFormatPr defaultColWidth="8.7109375" defaultRowHeight="15.75"/>
  <cols>
    <col min="1" max="1" width="8.7109375" style="30"/>
    <col min="2" max="2" width="14.5703125" style="30" customWidth="1"/>
    <col min="3" max="3" width="52.28515625" style="30" customWidth="1"/>
    <col min="4" max="4" width="23.140625" style="30" customWidth="1"/>
    <col min="5" max="5" width="30.85546875" style="30" customWidth="1"/>
    <col min="6" max="6" width="22.85546875" style="30" customWidth="1"/>
    <col min="7" max="7" width="28.140625" style="30" bestFit="1" customWidth="1"/>
    <col min="8" max="8" width="9" style="30" bestFit="1" customWidth="1"/>
    <col min="9" max="10" width="8.7109375" style="30"/>
    <col min="11" max="11" width="55.5703125" style="30" bestFit="1" customWidth="1"/>
    <col min="12" max="16384" width="8.7109375" style="30"/>
  </cols>
  <sheetData>
    <row r="3" spans="2:12" s="41" customFormat="1">
      <c r="B3" s="108" t="s">
        <v>0</v>
      </c>
      <c r="C3" s="108"/>
      <c r="D3" s="109" t="s">
        <v>1</v>
      </c>
      <c r="E3" s="83" t="s">
        <v>164</v>
      </c>
      <c r="F3" s="71"/>
    </row>
    <row r="4" spans="2:12" ht="31.5">
      <c r="B4" s="108"/>
      <c r="C4" s="108"/>
      <c r="D4" s="110"/>
      <c r="E4" s="83" t="s">
        <v>165</v>
      </c>
      <c r="F4" s="71"/>
      <c r="G4" s="72"/>
    </row>
    <row r="5" spans="2:12" ht="24.95" customHeight="1">
      <c r="B5" s="63" t="s">
        <v>2</v>
      </c>
      <c r="C5" s="63" t="s">
        <v>3</v>
      </c>
      <c r="D5" s="16" t="s">
        <v>4</v>
      </c>
      <c r="E5" s="97">
        <f>'Avail &amp; Stranded Capacity'!I4</f>
        <v>9093.1195855707756</v>
      </c>
      <c r="F5" s="32"/>
      <c r="G5" s="73"/>
      <c r="H5" s="74"/>
    </row>
    <row r="6" spans="2:12" ht="34.5" customHeight="1">
      <c r="B6" s="13" t="s">
        <v>5</v>
      </c>
      <c r="C6" s="13" t="s">
        <v>6</v>
      </c>
      <c r="D6" s="16" t="s">
        <v>4</v>
      </c>
      <c r="E6" s="98">
        <f xml:space="preserve"> 'Avail &amp; Stranded Capacity'!I$10</f>
        <v>23.209835592222763</v>
      </c>
      <c r="F6" s="32"/>
      <c r="G6" s="73"/>
      <c r="H6" s="74"/>
    </row>
    <row r="7" spans="2:12" ht="30.75" customHeight="1">
      <c r="B7" s="13" t="s">
        <v>8</v>
      </c>
      <c r="C7" s="13" t="s">
        <v>9</v>
      </c>
      <c r="D7" s="16" t="s">
        <v>10</v>
      </c>
      <c r="E7" s="98">
        <f>'Actual FC, PGCIL &amp; TM Cost'!C51</f>
        <v>6391.740116862883</v>
      </c>
      <c r="F7" s="32"/>
      <c r="G7" s="73"/>
      <c r="H7" s="74"/>
      <c r="L7" s="74"/>
    </row>
    <row r="8" spans="2:12" ht="24.95" customHeight="1">
      <c r="B8" s="13" t="s">
        <v>12</v>
      </c>
      <c r="C8" s="13" t="s">
        <v>13</v>
      </c>
      <c r="D8" s="13" t="s">
        <v>14</v>
      </c>
      <c r="E8" s="97">
        <f>E7/E5</f>
        <v>0.70292049463480943</v>
      </c>
      <c r="F8" s="32"/>
      <c r="G8" s="73"/>
      <c r="H8" s="74"/>
    </row>
    <row r="9" spans="2:12" ht="24.95" customHeight="1">
      <c r="B9" s="13" t="s">
        <v>15</v>
      </c>
      <c r="C9" s="13" t="s">
        <v>16</v>
      </c>
      <c r="D9" s="16" t="s">
        <v>10</v>
      </c>
      <c r="E9" s="97">
        <f>E8*E6</f>
        <v>16.31466911487783</v>
      </c>
      <c r="F9" s="32"/>
      <c r="G9" s="73"/>
      <c r="H9" s="74"/>
    </row>
    <row r="10" spans="2:12" ht="30.75" customHeight="1">
      <c r="B10" s="13" t="s">
        <v>17</v>
      </c>
      <c r="C10" s="13" t="s">
        <v>18</v>
      </c>
      <c r="D10" s="16" t="s">
        <v>10</v>
      </c>
      <c r="E10" s="98">
        <f>'Actual FC, PGCIL &amp; TM Cost'!C62</f>
        <v>3197.5226094776544</v>
      </c>
      <c r="F10" s="32"/>
      <c r="G10" s="73"/>
      <c r="H10" s="74"/>
    </row>
    <row r="11" spans="2:12" ht="24.95" customHeight="1">
      <c r="B11" s="13" t="s">
        <v>19</v>
      </c>
      <c r="C11" s="13" t="s">
        <v>20</v>
      </c>
      <c r="D11" s="16" t="s">
        <v>21</v>
      </c>
      <c r="E11" s="98">
        <f>'Actual FC, PGCIL &amp; TM Cost'!J6</f>
        <v>46040.405592032999</v>
      </c>
      <c r="F11" s="32"/>
      <c r="G11" s="73"/>
      <c r="H11" s="74"/>
    </row>
    <row r="12" spans="2:12" ht="24.95" customHeight="1">
      <c r="B12" s="13" t="s">
        <v>22</v>
      </c>
      <c r="C12" s="13" t="s">
        <v>23</v>
      </c>
      <c r="D12" s="16" t="s">
        <v>24</v>
      </c>
      <c r="E12" s="97">
        <f>E10/E11*10</f>
        <v>0.69450357101783777</v>
      </c>
      <c r="F12" s="32"/>
      <c r="G12" s="73"/>
      <c r="H12" s="74"/>
    </row>
    <row r="13" spans="2:12" s="41" customFormat="1" ht="28.5" customHeight="1">
      <c r="B13" s="13" t="s">
        <v>25</v>
      </c>
      <c r="C13" s="16" t="s">
        <v>26</v>
      </c>
      <c r="D13" s="16" t="s">
        <v>24</v>
      </c>
      <c r="E13" s="98">
        <f>'Actual FC, PGCIL &amp; TM Cost'!J10</f>
        <v>0.17373000730871294</v>
      </c>
      <c r="F13" s="32"/>
      <c r="G13" s="73"/>
      <c r="H13" s="74"/>
    </row>
    <row r="14" spans="2:12" ht="38.1" customHeight="1">
      <c r="B14" s="13" t="s">
        <v>27</v>
      </c>
      <c r="C14" s="13" t="s">
        <v>28</v>
      </c>
      <c r="D14" s="16" t="s">
        <v>24</v>
      </c>
      <c r="E14" s="97">
        <f>E12+E13</f>
        <v>0.86823357832655068</v>
      </c>
      <c r="F14" s="32"/>
      <c r="G14" s="73"/>
      <c r="H14" s="74"/>
      <c r="J14" s="74"/>
    </row>
    <row r="15" spans="2:12" ht="33.75" customHeight="1">
      <c r="B15" s="13" t="s">
        <v>29</v>
      </c>
      <c r="C15" s="13" t="s">
        <v>153</v>
      </c>
      <c r="D15" s="16" t="s">
        <v>21</v>
      </c>
      <c r="E15" s="99">
        <f>'[3]Sc.wise Oct to March Revised'!$EJ$376</f>
        <v>1306.5623073620691</v>
      </c>
      <c r="F15" s="32"/>
      <c r="H15" s="74"/>
    </row>
    <row r="16" spans="2:12" ht="36" customHeight="1">
      <c r="B16" s="13" t="s">
        <v>30</v>
      </c>
      <c r="C16" s="75" t="s">
        <v>152</v>
      </c>
      <c r="D16" s="16" t="s">
        <v>10</v>
      </c>
      <c r="E16" s="97">
        <f>E15*E14/10</f>
        <v>113.44012674275639</v>
      </c>
      <c r="F16" s="32"/>
      <c r="H16" s="74"/>
    </row>
    <row r="17" spans="1:10" ht="36" customHeight="1">
      <c r="B17" s="13" t="s">
        <v>31</v>
      </c>
      <c r="C17" s="13" t="s">
        <v>32</v>
      </c>
      <c r="D17" s="16" t="s">
        <v>10</v>
      </c>
      <c r="E17" s="100">
        <f>'Actual FC, PGCIL &amp; TM Cost'!J17</f>
        <v>119.16887497104283</v>
      </c>
      <c r="F17" s="32"/>
      <c r="G17" s="74"/>
      <c r="H17" s="74"/>
      <c r="I17" s="74"/>
    </row>
    <row r="18" spans="1:10" ht="24.95" customHeight="1">
      <c r="B18" s="13" t="s">
        <v>34</v>
      </c>
      <c r="C18" s="13" t="s">
        <v>35</v>
      </c>
      <c r="D18" s="16" t="s">
        <v>10</v>
      </c>
      <c r="E18" s="97">
        <f>E17-E16</f>
        <v>5.7287482282864346</v>
      </c>
      <c r="F18" s="32"/>
      <c r="G18" s="74"/>
      <c r="H18" s="74"/>
      <c r="I18" s="74"/>
      <c r="J18" s="74"/>
    </row>
    <row r="19" spans="1:10" ht="24.95" customHeight="1">
      <c r="B19" s="13" t="s">
        <v>36</v>
      </c>
      <c r="C19" s="13" t="s">
        <v>37</v>
      </c>
      <c r="D19" s="16" t="s">
        <v>10</v>
      </c>
      <c r="E19" s="97">
        <f>E9-E18</f>
        <v>10.585920886591396</v>
      </c>
      <c r="F19" s="32"/>
      <c r="G19" s="74"/>
      <c r="H19" s="74"/>
      <c r="I19" s="74"/>
      <c r="J19" s="74"/>
    </row>
    <row r="20" spans="1:10" s="41" customFormat="1" ht="31.5" customHeight="1">
      <c r="B20" s="13" t="s">
        <v>38</v>
      </c>
      <c r="C20" s="13" t="s">
        <v>39</v>
      </c>
      <c r="D20" s="16" t="s">
        <v>21</v>
      </c>
      <c r="E20" s="97">
        <f>'[3]OA Sales_FY2023-24  H2- Fin Rev'!$T$36</f>
        <v>66.053765999999996</v>
      </c>
      <c r="F20" s="32"/>
      <c r="G20" s="76"/>
      <c r="H20" s="74"/>
      <c r="I20" s="76"/>
    </row>
    <row r="21" spans="1:10" ht="24.95" customHeight="1">
      <c r="B21" s="80" t="s">
        <v>41</v>
      </c>
      <c r="C21" s="81" t="s">
        <v>42</v>
      </c>
      <c r="D21" s="82" t="s">
        <v>24</v>
      </c>
      <c r="E21" s="101">
        <f>E19/E20*10</f>
        <v>1.6026218530206735</v>
      </c>
      <c r="F21" s="32"/>
      <c r="H21" s="74"/>
    </row>
    <row r="23" spans="1:10">
      <c r="E23" s="74"/>
      <c r="F23" s="74"/>
    </row>
    <row r="24" spans="1:10" hidden="1"/>
    <row r="25" spans="1:10" hidden="1">
      <c r="C25" s="77" t="s">
        <v>11</v>
      </c>
      <c r="D25" s="77"/>
    </row>
    <row r="26" spans="1:10" hidden="1">
      <c r="C26" s="77" t="s">
        <v>43</v>
      </c>
      <c r="D26" s="77"/>
    </row>
    <row r="27" spans="1:10" hidden="1"/>
    <row r="28" spans="1:10" hidden="1"/>
    <row r="29" spans="1:10" hidden="1"/>
    <row r="30" spans="1:10" hidden="1">
      <c r="C30" s="77" t="s">
        <v>44</v>
      </c>
      <c r="D30" s="77"/>
    </row>
    <row r="31" spans="1:10" hidden="1">
      <c r="C31" s="77" t="s">
        <v>40</v>
      </c>
      <c r="D31" s="77"/>
    </row>
    <row r="32" spans="1:10" hidden="1">
      <c r="A32" s="78" t="s">
        <v>45</v>
      </c>
      <c r="C32" s="77" t="s">
        <v>46</v>
      </c>
      <c r="D32" s="77"/>
    </row>
    <row r="33" spans="1:4" hidden="1">
      <c r="A33" s="78" t="s">
        <v>47</v>
      </c>
      <c r="C33" s="77" t="s">
        <v>48</v>
      </c>
      <c r="D33" s="77"/>
    </row>
    <row r="34" spans="1:4" hidden="1"/>
    <row r="35" spans="1:4" hidden="1"/>
    <row r="36" spans="1:4" hidden="1"/>
    <row r="37" spans="1:4" hidden="1">
      <c r="C37" s="77" t="s">
        <v>49</v>
      </c>
      <c r="D37" s="77"/>
    </row>
    <row r="38" spans="1:4" hidden="1">
      <c r="C38" s="77" t="s">
        <v>50</v>
      </c>
      <c r="D38" s="77"/>
    </row>
    <row r="39" spans="1:4" hidden="1">
      <c r="C39" s="77" t="s">
        <v>51</v>
      </c>
      <c r="D39" s="77"/>
    </row>
    <row r="40" spans="1:4" hidden="1"/>
    <row r="41" spans="1:4" hidden="1"/>
    <row r="42" spans="1:4" hidden="1"/>
    <row r="43" spans="1:4" hidden="1">
      <c r="C43" s="77" t="s">
        <v>52</v>
      </c>
      <c r="D43" s="77"/>
    </row>
    <row r="44" spans="1:4" hidden="1">
      <c r="C44" s="77" t="s">
        <v>53</v>
      </c>
      <c r="D44" s="77"/>
    </row>
    <row r="45" spans="1:4" hidden="1">
      <c r="C45" s="77" t="s">
        <v>33</v>
      </c>
      <c r="D45" s="77"/>
    </row>
    <row r="46" spans="1:4" hidden="1"/>
    <row r="47" spans="1:4" hidden="1"/>
    <row r="48" spans="1:4" hidden="1"/>
    <row r="49" spans="3:4" ht="31.5" hidden="1">
      <c r="C49" s="79" t="s">
        <v>54</v>
      </c>
      <c r="D49" s="77"/>
    </row>
    <row r="50" spans="3:4" ht="31.5" hidden="1">
      <c r="C50" s="79" t="s">
        <v>7</v>
      </c>
      <c r="D50" s="77"/>
    </row>
  </sheetData>
  <mergeCells count="2">
    <mergeCell ref="B3:C4"/>
    <mergeCell ref="D3:D4"/>
  </mergeCells>
  <printOptions horizontalCentered="1"/>
  <pageMargins left="0.45" right="0.45" top="0.5" bottom="0.5" header="0" footer="0"/>
  <pageSetup scale="80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G13"/>
  <sheetViews>
    <sheetView workbookViewId="0">
      <selection activeCell="G7" sqref="G7"/>
    </sheetView>
  </sheetViews>
  <sheetFormatPr defaultRowHeight="15"/>
  <cols>
    <col min="4" max="6" width="10.5703125" customWidth="1"/>
  </cols>
  <sheetData>
    <row r="3" spans="3:7" s="3" customFormat="1">
      <c r="C3" s="111" t="s">
        <v>104</v>
      </c>
      <c r="D3" s="112" t="s">
        <v>115</v>
      </c>
      <c r="E3" s="112"/>
      <c r="F3" s="112"/>
    </row>
    <row r="4" spans="3:7" s="2" customFormat="1">
      <c r="C4" s="111"/>
      <c r="D4" s="6" t="s">
        <v>113</v>
      </c>
      <c r="E4" s="6" t="s">
        <v>114</v>
      </c>
      <c r="F4" s="6" t="s">
        <v>95</v>
      </c>
    </row>
    <row r="5" spans="3:7" s="5" customFormat="1" hidden="1">
      <c r="C5" s="10" t="s">
        <v>105</v>
      </c>
      <c r="D5" s="9"/>
      <c r="E5" s="9"/>
      <c r="F5" s="11">
        <f>485856564.5/10^6</f>
        <v>485.85656449999999</v>
      </c>
    </row>
    <row r="6" spans="3:7" s="5" customFormat="1" hidden="1">
      <c r="C6" s="10" t="s">
        <v>106</v>
      </c>
      <c r="D6" s="9"/>
      <c r="E6" s="9"/>
      <c r="F6" s="11">
        <f>947768055.5/10^6</f>
        <v>947.76805549999995</v>
      </c>
    </row>
    <row r="7" spans="3:7">
      <c r="C7" s="1" t="s">
        <v>107</v>
      </c>
      <c r="D7" s="7">
        <v>1046.1329619999999</v>
      </c>
      <c r="E7" s="7">
        <v>1113.30503635375</v>
      </c>
      <c r="F7" s="8">
        <f>SUM(D7:E7)</f>
        <v>2159.4379983537501</v>
      </c>
    </row>
    <row r="8" spans="3:7">
      <c r="C8" s="1" t="s">
        <v>108</v>
      </c>
      <c r="D8" s="7">
        <v>1034.2393849999999</v>
      </c>
      <c r="E8" s="7">
        <v>719.495721</v>
      </c>
      <c r="F8" s="8">
        <f t="shared" ref="F8:F12" si="0">SUM(D8:E8)</f>
        <v>1753.7351059999999</v>
      </c>
    </row>
    <row r="9" spans="3:7">
      <c r="C9" s="1" t="s">
        <v>109</v>
      </c>
      <c r="D9" s="7">
        <v>484.28944399999995</v>
      </c>
      <c r="E9" s="7">
        <v>483.57670607</v>
      </c>
      <c r="F9" s="8">
        <f t="shared" si="0"/>
        <v>967.86615007</v>
      </c>
    </row>
    <row r="10" spans="3:7">
      <c r="C10" s="1" t="s">
        <v>110</v>
      </c>
      <c r="D10" s="7">
        <v>669.27946420000001</v>
      </c>
      <c r="E10" s="7">
        <v>859.21150440000019</v>
      </c>
      <c r="F10" s="8">
        <f t="shared" si="0"/>
        <v>1528.4909686000001</v>
      </c>
    </row>
    <row r="11" spans="3:7">
      <c r="C11" s="1" t="s">
        <v>111</v>
      </c>
      <c r="D11" s="7">
        <v>868.04402991000006</v>
      </c>
      <c r="E11" s="7">
        <v>844.10998640000014</v>
      </c>
      <c r="F11" s="8">
        <f t="shared" si="0"/>
        <v>1712.1540163100003</v>
      </c>
    </row>
    <row r="12" spans="3:7">
      <c r="C12" s="1" t="s">
        <v>112</v>
      </c>
      <c r="D12" s="7">
        <v>645.89654036999991</v>
      </c>
      <c r="E12" s="7"/>
      <c r="F12" s="8">
        <f t="shared" si="0"/>
        <v>645.89654036999991</v>
      </c>
    </row>
    <row r="13" spans="3:7">
      <c r="D13" s="4">
        <f>AVERAGE(D7:D12)</f>
        <v>791.31363757999986</v>
      </c>
      <c r="F13" s="4">
        <f>AVERAGE(F7:F11)</f>
        <v>1624.3368478667501</v>
      </c>
      <c r="G13">
        <f>F13/2</f>
        <v>812.16842393337504</v>
      </c>
    </row>
  </sheetData>
  <mergeCells count="2">
    <mergeCell ref="C3:C4"/>
    <mergeCell ref="D3:F3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Actual FC, PGCIL &amp; TM Cost</vt:lpstr>
      <vt:lpstr>Avail &amp; Stranded Capacity</vt:lpstr>
      <vt:lpstr>Addnl Surcharge H2_24-25</vt:lpstr>
      <vt:lpstr>OA Sales Trend</vt:lpstr>
      <vt:lpstr>'Actual FC, PGCIL &amp; TM Cost'!Print_Area</vt:lpstr>
      <vt:lpstr>'Addnl Surcharge H2_24-25'!Print_Area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</dc:creator>
  <cp:lastModifiedBy>hp</cp:lastModifiedBy>
  <cp:lastPrinted>2022-11-15T07:33:38Z</cp:lastPrinted>
  <dcterms:created xsi:type="dcterms:W3CDTF">2019-10-25T12:02:31Z</dcterms:created>
  <dcterms:modified xsi:type="dcterms:W3CDTF">2024-06-06T07:13:30Z</dcterms:modified>
</cp:coreProperties>
</file>